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defaultThemeVersion="124226"/>
  <mc:AlternateContent xmlns:mc="http://schemas.openxmlformats.org/markup-compatibility/2006">
    <mc:Choice Requires="x15">
      <x15ac:absPath xmlns:x15ac="http://schemas.microsoft.com/office/spreadsheetml/2010/11/ac" url="https://unicef-my.sharepoint.com/personal/fdjaloshi_unicef_org/Documents/Desktop/Erik/UNICEF/Dashboard_new/Anglisht/"/>
    </mc:Choice>
  </mc:AlternateContent>
  <xr:revisionPtr revIDLastSave="0" documentId="8_{9BBC0281-1F2C-418F-832A-0FD468BBCED5}" xr6:coauthVersionLast="47" xr6:coauthVersionMax="47" xr10:uidLastSave="{00000000-0000-0000-0000-000000000000}"/>
  <bookViews>
    <workbookView xWindow="-110" yWindow="-110" windowWidth="19420" windowHeight="10300" tabRatio="995" xr2:uid="{00000000-000D-0000-FFFF-FFFF00000000}"/>
  </bookViews>
  <sheets>
    <sheet name="Summary" sheetId="4" r:id="rId1"/>
    <sheet name="Indicator_1" sheetId="5" r:id="rId2"/>
    <sheet name="Indicator_2" sheetId="34" r:id="rId3"/>
    <sheet name="Indicator_3" sheetId="35" r:id="rId4"/>
    <sheet name="Indicator_4" sheetId="37" r:id="rId5"/>
    <sheet name="Indicator_5" sheetId="38" r:id="rId6"/>
    <sheet name="Indicator_6" sheetId="39" r:id="rId7"/>
    <sheet name="Indicator_7" sheetId="40" r:id="rId8"/>
    <sheet name="Indicator_8" sheetId="41" r:id="rId9"/>
    <sheet name="Indicator_9" sheetId="42" r:id="rId10"/>
    <sheet name="Indicator_10" sheetId="43" r:id="rId11"/>
    <sheet name="Indicator_11" sheetId="44" r:id="rId12"/>
    <sheet name="Indicator_12" sheetId="45" r:id="rId13"/>
    <sheet name="Indicator_13" sheetId="46" r:id="rId14"/>
    <sheet name="Indicator_14" sheetId="47" r:id="rId15"/>
    <sheet name="Indicator_15" sheetId="48" r:id="rId16"/>
    <sheet name="Indicator_16" sheetId="49" r:id="rId17"/>
    <sheet name="Indicator_17" sheetId="50" r:id="rId18"/>
    <sheet name="Indicator_18" sheetId="51" r:id="rId19"/>
    <sheet name="Indicator_19" sheetId="52" r:id="rId20"/>
    <sheet name="Indicator_20" sheetId="53" r:id="rId21"/>
    <sheet name="Indicator_21" sheetId="54" r:id="rId22"/>
    <sheet name="Indicator_22" sheetId="55" r:id="rId23"/>
    <sheet name="Indicator_23" sheetId="56" r:id="rId24"/>
    <sheet name="Indicator_24" sheetId="57" r:id="rId25"/>
    <sheet name="Indicator_25" sheetId="58" r:id="rId26"/>
    <sheet name="Indicator_26" sheetId="59" r:id="rId2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 i="58" l="1"/>
  <c r="B11" i="58"/>
  <c r="C10" i="58"/>
  <c r="B10" i="58"/>
  <c r="C9" i="58"/>
  <c r="B9" i="58"/>
  <c r="C11" i="50"/>
  <c r="B11" i="50"/>
  <c r="C10" i="50"/>
  <c r="B10" i="50"/>
  <c r="C9" i="50"/>
  <c r="B9" i="50"/>
  <c r="C17" i="47"/>
  <c r="B17" i="47"/>
  <c r="C16" i="47"/>
  <c r="B16" i="47"/>
  <c r="C15" i="47"/>
  <c r="B15" i="47"/>
  <c r="C14" i="47"/>
  <c r="B14" i="47"/>
  <c r="C13" i="47"/>
  <c r="B13" i="47"/>
  <c r="C12" i="47"/>
  <c r="B12" i="47"/>
  <c r="C11" i="47"/>
  <c r="B11" i="47"/>
  <c r="C10" i="47"/>
  <c r="B10" i="47"/>
  <c r="C9" i="47"/>
  <c r="B9" i="47"/>
  <c r="C11" i="44"/>
  <c r="B11" i="44"/>
  <c r="C10" i="44"/>
  <c r="B10" i="44"/>
  <c r="C9" i="44"/>
  <c r="B9" i="44"/>
  <c r="C11" i="41"/>
  <c r="B11" i="41"/>
  <c r="C10" i="41"/>
  <c r="B10" i="41"/>
  <c r="C9" i="41"/>
  <c r="B9" i="41"/>
  <c r="C17" i="34"/>
  <c r="B17" i="34"/>
  <c r="C16" i="34"/>
  <c r="B16" i="34"/>
  <c r="C15" i="34"/>
  <c r="B15" i="34"/>
  <c r="C14" i="34"/>
  <c r="B14" i="34"/>
  <c r="C13" i="34"/>
  <c r="B13" i="34"/>
  <c r="C12" i="34"/>
  <c r="B12" i="34"/>
  <c r="C11" i="34"/>
  <c r="B11" i="34"/>
  <c r="C10" i="34"/>
  <c r="B10" i="34"/>
  <c r="C9" i="34"/>
  <c r="B9" i="34"/>
  <c r="C29" i="4"/>
  <c r="B29" i="4"/>
  <c r="C28" i="4"/>
  <c r="B28" i="4"/>
  <c r="C27" i="4"/>
  <c r="B27" i="4"/>
  <c r="C26" i="4"/>
  <c r="B26" i="4"/>
  <c r="C25" i="4"/>
  <c r="B25" i="4"/>
  <c r="C24" i="4"/>
  <c r="B24" i="4"/>
  <c r="C23" i="4"/>
  <c r="B23" i="4"/>
  <c r="C22" i="4"/>
  <c r="B22" i="4"/>
  <c r="C21" i="4"/>
  <c r="B21" i="4"/>
  <c r="C20" i="4"/>
  <c r="B20" i="4"/>
  <c r="C19" i="4"/>
  <c r="B19" i="4"/>
  <c r="C18" i="4"/>
  <c r="B18" i="4"/>
  <c r="C17" i="4"/>
  <c r="B17" i="4"/>
  <c r="C16" i="4"/>
  <c r="B16" i="4"/>
  <c r="C15" i="4"/>
  <c r="B15" i="4"/>
  <c r="C14" i="4"/>
  <c r="B14" i="4"/>
  <c r="C13" i="4"/>
  <c r="B13" i="4"/>
  <c r="C12" i="4"/>
  <c r="B12" i="4"/>
  <c r="C11" i="4"/>
  <c r="B11" i="4"/>
  <c r="C10" i="4"/>
  <c r="B10" i="4"/>
  <c r="C9" i="4"/>
  <c r="B9" i="4"/>
  <c r="C8" i="4"/>
  <c r="B8" i="4"/>
  <c r="C7" i="4"/>
  <c r="B7" i="4"/>
  <c r="C6" i="4"/>
  <c r="B6" i="4"/>
  <c r="C5" i="4"/>
  <c r="B5" i="4"/>
  <c r="C4" i="4"/>
  <c r="B4" i="4"/>
</calcChain>
</file>

<file path=xl/sharedStrings.xml><?xml version="1.0" encoding="utf-8"?>
<sst xmlns="http://schemas.openxmlformats.org/spreadsheetml/2006/main" count="325" uniqueCount="104">
  <si>
    <t>Total</t>
  </si>
  <si>
    <t>-</t>
  </si>
  <si>
    <t>Justice</t>
  </si>
  <si>
    <t>Indicator</t>
  </si>
  <si>
    <t>Source</t>
  </si>
  <si>
    <t>Disaggregation</t>
  </si>
  <si>
    <t>Latest year</t>
  </si>
  <si>
    <t>Gender / Age</t>
  </si>
  <si>
    <t>Gender</t>
  </si>
  <si>
    <t>Age</t>
  </si>
  <si>
    <t>Gender / Conviction</t>
  </si>
  <si>
    <t xml:space="preserve">General Directorate of Police </t>
  </si>
  <si>
    <t>Explanation</t>
  </si>
  <si>
    <t>Unit</t>
  </si>
  <si>
    <t>Number</t>
  </si>
  <si>
    <t>0-17 years</t>
  </si>
  <si>
    <t>Male</t>
  </si>
  <si>
    <t xml:space="preserve">Female </t>
  </si>
  <si>
    <t>under 14 years</t>
  </si>
  <si>
    <t>14-17 years</t>
  </si>
  <si>
    <t>Percentage</t>
  </si>
  <si>
    <t>Female</t>
  </si>
  <si>
    <t>Children 0-17 years old victims and potential victims of human trafficking, during the year</t>
  </si>
  <si>
    <t xml:space="preserve">Source </t>
  </si>
  <si>
    <t>General Directorate of Prisons</t>
  </si>
  <si>
    <t>INSTAT/ General Directorate of Prisons</t>
  </si>
  <si>
    <t xml:space="preserve">Ministry of Justice </t>
  </si>
  <si>
    <t>Misdemeanors</t>
  </si>
  <si>
    <t>Ministry of Justice</t>
  </si>
  <si>
    <t xml:space="preserve">Number </t>
  </si>
  <si>
    <t>INSTAT / Ministry of Justice</t>
  </si>
  <si>
    <t xml:space="preserve">INSTAT / Ministry of Justice </t>
  </si>
  <si>
    <t>Ratio of children 0-17 years old victims and possible victims of human trafficking, during the year</t>
  </si>
  <si>
    <t>Children 0-17 years old victims of crime, during the year</t>
  </si>
  <si>
    <t>Ratio of children 0-17 victims of crime, to the total of victims, during the year</t>
  </si>
  <si>
    <t>Rate of children 0-17 victims of crime, during the year (per 100,000)</t>
  </si>
  <si>
    <t>Number of children (aged 0-17) victims of criminal offences registered by the police, during the year.</t>
  </si>
  <si>
    <t xml:space="preserve">Number of children 0-17 years old who are victims of criminal offences, registered by the police during the year, per 100,000 of the respective average population. </t>
  </si>
  <si>
    <t>Rate of children 0-17 years old victims of intentional murder, during the year (per 100,000)</t>
  </si>
  <si>
    <t>Victims and potential victims of human trafficking, during the year</t>
  </si>
  <si>
    <t xml:space="preserve">Total number of victims and potential victims of human trafficking, identified during the year.  </t>
  </si>
  <si>
    <t>Ministry of Interior / National coordinator for anti-trafficking</t>
  </si>
  <si>
    <t>Rate of victims and potential victims of human trafficking, during the year (per 100,000)</t>
  </si>
  <si>
    <t xml:space="preserve">Number of children 0-17 years old victims and potential victims of human trafficking, during the year. </t>
  </si>
  <si>
    <t xml:space="preserve">Proportion of children 0-17 years old victims and potential victims of human trafficking, compared to the total of victims and potential victims of human trafficking, during the year. </t>
  </si>
  <si>
    <t xml:space="preserve">General Directorate of State Police </t>
  </si>
  <si>
    <t>Number of children 14-17 years old detained (pre-sentence) and imprisoned (post-sentence detention) in the institutions for the execution of criminal decisions, at the end of the year (December).</t>
  </si>
  <si>
    <t>Children 14-17 years old in institutions for the execution of criminal decisions, at the end of the year</t>
  </si>
  <si>
    <t>Imprisoned</t>
  </si>
  <si>
    <t>Ratio of children 14-17 years old in institutions for the execution of criminal decisions, at the end of the year</t>
  </si>
  <si>
    <t>Rate of children 14-17 years old in institutions for the execution of criminal decisions, at the end of the year (per 100,000)</t>
  </si>
  <si>
    <t xml:space="preserve">Propotion of children 14-17 years old detained (pre-sentence) and imprisoned (post-sentence detention) in institutions for the execution of criminal decisions, compared to the total population in these institutions, at the end of the year. </t>
  </si>
  <si>
    <t>Recidivism of children 14-17 years old in pre-sentence detention, during the year</t>
  </si>
  <si>
    <t xml:space="preserve">Detained (Pre-sentence) </t>
  </si>
  <si>
    <t>Detained (Pre-sentence)</t>
  </si>
  <si>
    <t>Criminal offences</t>
  </si>
  <si>
    <t>Children under 17 years old, alleged offenders, during the year</t>
  </si>
  <si>
    <t>Children 14-17 sentenced to alternative measures by first-degree courts, during the year</t>
  </si>
  <si>
    <t>Children 14-17 years old sentenced to deprivation of liberty by first-degree courts, during the year</t>
  </si>
  <si>
    <t>Number of children 14-17 years old sentenced to deprivation of liberty by first-degree courts for criminal offences and misdemeanors during the year.</t>
  </si>
  <si>
    <t>Criminal offenses</t>
  </si>
  <si>
    <t>Ratio of children 14-17 years old sentenced to deprivation of liberty,  to the total of children convicted by first-degree courts, during the year</t>
  </si>
  <si>
    <t>Ratio of children 14-17 years old sentenced to alternative measures, to the total of children convicted by first-degree courts, during the year</t>
  </si>
  <si>
    <t>General Prosecutor Office</t>
  </si>
  <si>
    <t>Children 14-17 years old alleged offenders, whose cases are handled by the prosecution, during the year</t>
  </si>
  <si>
    <t>Ratio of children 14-17 years old, to the total of alleged offenders, handled by the prosecution, during the year</t>
  </si>
  <si>
    <t>Propotion of children aged 14-17 suspected (alleged) for committing criminal offences and misdemeanors, compared to the total number of persons (alleged offenders), whose cases are handled by the prosecution, during the year.</t>
  </si>
  <si>
    <t>The proportion of children 0-17 years old victims of criminal offenses, compared to the total crime victims, registered by the police during the year.</t>
  </si>
  <si>
    <t>Number of children 0-17 years old victims (resulting in death) of intentional murder, registered by the police during the year, per 100,000 of the respective average population. This is SDG indicator 16.1.1.</t>
  </si>
  <si>
    <t>Number of victims and potential victims of human trafficking identified during the year, per 100,000 of the average total population. This is SDG indicator 16.2.2.</t>
  </si>
  <si>
    <t>Number of children 0-17 years old victims and possible victims of human trafficking during the year, per 100,000 of the respective average  population. This is SDG indicator 16.2.2.</t>
  </si>
  <si>
    <t>Ratio of children under 17 years old, to the total of alleged offenders, during the year</t>
  </si>
  <si>
    <t>Rate of children under 17 years old alleged offenders, during the year (per 100,000)</t>
  </si>
  <si>
    <t>Number of children under 17 years suspected of committing criminal offences and misdemeanors (alleged offenders), registered by the police during the year, per 100,000 of the respective average populations (9-17 years old).</t>
  </si>
  <si>
    <t>Proportion of children under 17 years old suspected of committing criminal offences and misdemeanors (alleged offenders), registered by the police during the year, compared to the total persons suspected (alleged offenders).</t>
  </si>
  <si>
    <t>Number of children under 17 years suspected of committing criminal offences and misdemeanors (alleged offenders) registered by the police, during the year.</t>
  </si>
  <si>
    <t>Number of children 14-17 years old detained (pre-sentence) and imprisoned (post-sentence detention) in the institutions for the execution of criminal decisions at the end of the year, per 100,000 of the respective population of January 1st of the following year.</t>
  </si>
  <si>
    <t>Number of children 14-17 years old detained (pre-sentence), compared to the total respective (14-17 y.o.) population (pre-sentence detained + imprisoned) in the institutions for the execution of criminal decisions, at the end of the year. This is SDG indicator 16.3.2.</t>
  </si>
  <si>
    <t>Number of youth 14-24 years old detained (pre-sentence), compared to the total respective population (pre-sentence detained + imprisoned) in the institutions for the execution of criminal decisions , at the end of the year. This is SDG indicator 16.3.2.</t>
  </si>
  <si>
    <t>Number of children 14-17 years old retuning to (repetative of) pre-sentence detention, during the year.</t>
  </si>
  <si>
    <t>Number of children 14-17 years old alleged offenders, whose cases have been handled by first-degree courts, for criminal offences and misdemeanors, during the year.</t>
  </si>
  <si>
    <t>Children 14-17 years old alleged offenders, whose cases are handled by first-degree courts, during the year</t>
  </si>
  <si>
    <t>Number of children 14-17 years old sentenced to alternative measures by first degree courts for a criminal offense and misdemeanor, during the year. Alternative measures include: Punishment with a fine; Removal of the rights to exercise a profession or an activity (Article 39); Half-freedom (Article 58); Staying at home (Article 59/a); The obligation to perform a work in the public interest (Article 63); Certain fulfillment; Compulsory treatment - Medical and educational measures (Article 46).</t>
  </si>
  <si>
    <t>Propotion of children 14-17 years old sentenced to alternative measures by first-degree courts for criminal offences and misdemeanors, to the total number of children 14-17 years old convicted by first-degree courts for criminal offences and misdemeanors during the year.</t>
  </si>
  <si>
    <t>Proportion of children 14-17 years old sentenced to deprivation of liberty by first-degree courts for criminal offences and misdemeanors, to the total number of children 14-17 years old convicted by first-degree courts of  criminal offences and misdemeanors during the year.</t>
  </si>
  <si>
    <t>Number of children 14-17 years old suspected (alleged) for committing criminal offences and misdemeanors, whose cases have been handled by the prosecution, during the year.</t>
  </si>
  <si>
    <t>Rate of children 14-17 years old alleged offenders, whose cases are handled by the prosecution, during the year (per 100,000)</t>
  </si>
  <si>
    <t>Number of children 14-17 years old suspected (alleged) for committing criminal offences and misdemeanors, whose cases have been handled by the prosecution during the year, per 100,000 of the respective average population.</t>
  </si>
  <si>
    <t xml:space="preserve">INSTAT / General Directorate of Police </t>
  </si>
  <si>
    <t>INSTAT / General Directorate of Police</t>
  </si>
  <si>
    <t>INSTAT / Ministry of Interior / National coordinator for anti-trafficking</t>
  </si>
  <si>
    <t xml:space="preserve">INSTAT / General Directorate of State Police </t>
  </si>
  <si>
    <t>INSTAT / General Directorate of Prisons</t>
  </si>
  <si>
    <t>INSTAT / General Prosecutor Office</t>
  </si>
  <si>
    <t>Crimes / Misdemeanors</t>
  </si>
  <si>
    <t>No.</t>
  </si>
  <si>
    <t>Ratio of young people 14-24 years old in institutions for the execution of criminal decisions, at the end of the year</t>
  </si>
  <si>
    <t>Rate of children 0-17 years old victims and potential victims of human trafficking, during the year (per 100,000)</t>
  </si>
  <si>
    <t>9-17 years</t>
  </si>
  <si>
    <t>9-14 years</t>
  </si>
  <si>
    <t>: Confidential data</t>
  </si>
  <si>
    <t>Special Values</t>
  </si>
  <si>
    <t>Note: Population to calculate this indicator is missing</t>
  </si>
  <si>
    <t>15-17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</si>
</sst>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00_-;\-* #,##0.00_-;_-* &quot;-&quot;??_-;_-@_-"/>
    <numFmt numFmtId="165" formatCode="_-* #,##0_-;\-* #,##0_-;_-* &quot;-&quot;??_-;_-@_-"/>
    <numFmt numFmtId="166" formatCode="0.0%"/>
    <numFmt numFmtId="167" formatCode="_-* #,##0.0_-;\-* #,##0.0_-;_-* &quot;-&quot;??_-;_-@_-"/>
    <numFmt numFmtId="168" formatCode="0.0"/>
  </numFmts>
  <fonts count="13" x14ac:knownFonts="1">
    <font>
      <sz val="11"/>
      <color theme="1"/>
      <name val="Calibri"/>
      <family val="2"/>
      <scheme val="minor"/>
    </font>
    <font>
      <b/>
      <sz val="16"/>
      <color theme="1"/>
      <name val="Calibri"/>
      <family val="2"/>
      <scheme val="minor"/>
    </font>
    <font>
      <sz val="11"/>
      <color theme="1"/>
      <name val="Calibri"/>
      <family val="2"/>
      <scheme val="minor"/>
    </font>
    <font>
      <sz val="11"/>
      <color theme="1"/>
      <name val="Calibri"/>
      <family val="2"/>
      <charset val="238"/>
      <scheme val="minor"/>
    </font>
    <font>
      <u/>
      <sz val="11"/>
      <color theme="10"/>
      <name val="Calibri"/>
      <family val="2"/>
      <charset val="238"/>
      <scheme val="minor"/>
    </font>
    <font>
      <sz val="11"/>
      <color rgb="FF000000"/>
      <name val="Calibri"/>
      <family val="2"/>
    </font>
    <font>
      <u/>
      <sz val="11"/>
      <color theme="10"/>
      <name val="Calibri"/>
      <family val="2"/>
      <scheme val="minor"/>
    </font>
    <font>
      <sz val="11"/>
      <name val="Arial"/>
      <family val="2"/>
    </font>
    <font>
      <sz val="8"/>
      <color theme="1"/>
      <name val="Arial"/>
      <family val="2"/>
    </font>
    <font>
      <b/>
      <sz val="22"/>
      <color theme="1"/>
      <name val="Calibri"/>
      <family val="2"/>
      <scheme val="minor"/>
    </font>
    <font>
      <b/>
      <sz val="14"/>
      <color theme="0"/>
      <name val="Calibri"/>
      <family val="2"/>
      <scheme val="minor"/>
    </font>
    <font>
      <b/>
      <sz val="16"/>
      <color theme="0"/>
      <name val="Calibri"/>
      <family val="2"/>
      <scheme val="minor"/>
    </font>
    <font>
      <i/>
      <sz val="11"/>
      <color theme="1"/>
      <name val="Calibri"/>
      <family val="2"/>
      <scheme val="minor"/>
    </font>
  </fonts>
  <fills count="5">
    <fill>
      <patternFill patternType="none"/>
    </fill>
    <fill>
      <patternFill patternType="gray125"/>
    </fill>
    <fill>
      <patternFill patternType="solid">
        <fgColor theme="6" tint="0.39997558519241921"/>
        <bgColor indexed="64"/>
      </patternFill>
    </fill>
    <fill>
      <patternFill patternType="solid">
        <fgColor theme="6" tint="0.79998168889431442"/>
        <bgColor indexed="64"/>
      </patternFill>
    </fill>
    <fill>
      <patternFill patternType="solid">
        <fgColor rgb="FF00B050"/>
        <bgColor indexed="64"/>
      </patternFill>
    </fill>
  </fills>
  <borders count="32">
    <border>
      <left/>
      <right/>
      <top/>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style="dotted">
        <color auto="1"/>
      </bottom>
      <diagonal/>
    </border>
    <border>
      <left/>
      <right/>
      <top style="thick">
        <color auto="1"/>
      </top>
      <bottom style="dotted">
        <color auto="1"/>
      </bottom>
      <diagonal/>
    </border>
    <border>
      <left/>
      <right style="thick">
        <color auto="1"/>
      </right>
      <top style="thick">
        <color auto="1"/>
      </top>
      <bottom style="dotted">
        <color auto="1"/>
      </bottom>
      <diagonal/>
    </border>
    <border>
      <left style="thick">
        <color auto="1"/>
      </left>
      <right/>
      <top style="dotted">
        <color auto="1"/>
      </top>
      <bottom style="dotted">
        <color auto="1"/>
      </bottom>
      <diagonal/>
    </border>
    <border>
      <left/>
      <right/>
      <top style="dotted">
        <color auto="1"/>
      </top>
      <bottom style="dotted">
        <color auto="1"/>
      </bottom>
      <diagonal/>
    </border>
    <border>
      <left/>
      <right style="thick">
        <color auto="1"/>
      </right>
      <top style="dotted">
        <color auto="1"/>
      </top>
      <bottom style="dotted">
        <color auto="1"/>
      </bottom>
      <diagonal/>
    </border>
    <border>
      <left style="thick">
        <color auto="1"/>
      </left>
      <right/>
      <top style="dotted">
        <color auto="1"/>
      </top>
      <bottom style="thick">
        <color auto="1"/>
      </bottom>
      <diagonal/>
    </border>
    <border>
      <left/>
      <right/>
      <top style="dotted">
        <color auto="1"/>
      </top>
      <bottom style="thick">
        <color auto="1"/>
      </bottom>
      <diagonal/>
    </border>
    <border>
      <left/>
      <right style="thick">
        <color auto="1"/>
      </right>
      <top style="dotted">
        <color auto="1"/>
      </top>
      <bottom style="thick">
        <color auto="1"/>
      </bottom>
      <diagonal/>
    </border>
    <border>
      <left style="thick">
        <color auto="1"/>
      </left>
      <right/>
      <top style="thick">
        <color auto="1"/>
      </top>
      <bottom style="thick">
        <color auto="1"/>
      </bottom>
      <diagonal/>
    </border>
    <border>
      <left style="thick">
        <color auto="1"/>
      </left>
      <right/>
      <top style="dotted">
        <color auto="1"/>
      </top>
      <bottom/>
      <diagonal/>
    </border>
    <border>
      <left/>
      <right/>
      <top style="dotted">
        <color auto="1"/>
      </top>
      <bottom/>
      <diagonal/>
    </border>
    <border>
      <left/>
      <right style="thick">
        <color auto="1"/>
      </right>
      <top style="dotted">
        <color auto="1"/>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dotted">
        <color auto="1"/>
      </bottom>
      <diagonal/>
    </border>
    <border>
      <left/>
      <right style="medium">
        <color indexed="64"/>
      </right>
      <top style="medium">
        <color indexed="64"/>
      </top>
      <bottom style="dotted">
        <color auto="1"/>
      </bottom>
      <diagonal/>
    </border>
    <border>
      <left/>
      <right style="medium">
        <color indexed="64"/>
      </right>
      <top style="dotted">
        <color auto="1"/>
      </top>
      <bottom style="dotted">
        <color auto="1"/>
      </bottom>
      <diagonal/>
    </border>
    <border>
      <left/>
      <right style="medium">
        <color indexed="64"/>
      </right>
      <top style="dotted">
        <color auto="1"/>
      </top>
      <bottom/>
      <diagonal/>
    </border>
    <border>
      <left/>
      <right/>
      <top style="dotted">
        <color auto="1"/>
      </top>
      <bottom style="medium">
        <color indexed="64"/>
      </bottom>
      <diagonal/>
    </border>
    <border>
      <left/>
      <right style="medium">
        <color indexed="64"/>
      </right>
      <top style="dotted">
        <color auto="1"/>
      </top>
      <bottom style="medium">
        <color indexed="64"/>
      </bottom>
      <diagonal/>
    </border>
    <border>
      <left/>
      <right/>
      <top/>
      <bottom style="thick">
        <color auto="1"/>
      </bottom>
      <diagonal/>
    </border>
    <border>
      <left/>
      <right style="thick">
        <color auto="1"/>
      </right>
      <top/>
      <bottom style="thick">
        <color auto="1"/>
      </bottom>
      <diagonal/>
    </border>
    <border>
      <left/>
      <right/>
      <top style="medium">
        <color indexed="64"/>
      </top>
      <bottom/>
      <diagonal/>
    </border>
    <border>
      <left/>
      <right/>
      <top style="thick">
        <color auto="1"/>
      </top>
      <bottom style="medium">
        <color indexed="64"/>
      </bottom>
      <diagonal/>
    </border>
    <border>
      <left/>
      <right style="medium">
        <color indexed="64"/>
      </right>
      <top style="thick">
        <color auto="1"/>
      </top>
      <bottom style="medium">
        <color indexed="64"/>
      </bottom>
      <diagonal/>
    </border>
  </borders>
  <cellStyleXfs count="25">
    <xf numFmtId="0" fontId="0" fillId="0" borderId="0"/>
    <xf numFmtId="164" fontId="2"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5" fillId="0" borderId="0" applyNumberFormat="0" applyBorder="0" applyAlignment="0"/>
    <xf numFmtId="9" fontId="3" fillId="0" borderId="0" applyFont="0" applyFill="0" applyBorder="0" applyAlignment="0" applyProtection="0"/>
    <xf numFmtId="0" fontId="5" fillId="0" borderId="0" applyNumberFormat="0" applyBorder="0" applyAlignment="0"/>
    <xf numFmtId="43" fontId="2" fillId="0" borderId="0" applyFont="0" applyFill="0" applyBorder="0" applyAlignment="0" applyProtection="0"/>
    <xf numFmtId="0" fontId="6" fillId="0" borderId="0" applyNumberFormat="0" applyFill="0" applyBorder="0" applyAlignment="0" applyProtection="0"/>
    <xf numFmtId="0" fontId="7" fillId="0" borderId="0"/>
    <xf numFmtId="0" fontId="8" fillId="0" borderId="0"/>
    <xf numFmtId="0" fontId="7" fillId="0" borderId="0"/>
    <xf numFmtId="0" fontId="3" fillId="0" borderId="0"/>
    <xf numFmtId="0" fontId="3" fillId="0" borderId="0"/>
    <xf numFmtId="0" fontId="4" fillId="0" borderId="0" applyNumberForma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6" fillId="0" borderId="0" applyNumberFormat="0" applyFill="0" applyBorder="0" applyAlignment="0" applyProtection="0"/>
    <xf numFmtId="0" fontId="5" fillId="0" borderId="0" applyBorder="0"/>
    <xf numFmtId="0" fontId="2" fillId="0" borderId="0"/>
    <xf numFmtId="9" fontId="2" fillId="0" borderId="0" applyFont="0" applyFill="0" applyBorder="0" applyAlignment="0" applyProtection="0"/>
    <xf numFmtId="9" fontId="2" fillId="0" borderId="0" applyFont="0" applyFill="0" applyBorder="0" applyAlignment="0" applyProtection="0"/>
    <xf numFmtId="0" fontId="6" fillId="0" borderId="0" applyNumberFormat="0" applyFill="0" applyBorder="0" applyAlignment="0" applyProtection="0"/>
  </cellStyleXfs>
  <cellXfs count="125">
    <xf numFmtId="0" fontId="0" fillId="0" borderId="0" xfId="0"/>
    <xf numFmtId="0" fontId="0" fillId="0" borderId="9" xfId="0" applyBorder="1"/>
    <xf numFmtId="0" fontId="0" fillId="0" borderId="12" xfId="0" applyBorder="1"/>
    <xf numFmtId="0" fontId="12" fillId="0" borderId="0" xfId="0" applyFont="1"/>
    <xf numFmtId="165" fontId="0" fillId="0" borderId="10" xfId="1" applyNumberFormat="1" applyFont="1" applyBorder="1"/>
    <xf numFmtId="165" fontId="0" fillId="0" borderId="11" xfId="1" applyNumberFormat="1" applyFont="1" applyBorder="1"/>
    <xf numFmtId="165" fontId="0" fillId="0" borderId="13" xfId="1" applyNumberFormat="1" applyFont="1" applyBorder="1"/>
    <xf numFmtId="165" fontId="0" fillId="0" borderId="14" xfId="1" applyNumberFormat="1" applyFont="1" applyBorder="1"/>
    <xf numFmtId="0" fontId="0" fillId="0" borderId="15" xfId="0" applyBorder="1"/>
    <xf numFmtId="166" fontId="0" fillId="0" borderId="1" xfId="23" applyNumberFormat="1" applyFont="1" applyFill="1" applyBorder="1"/>
    <xf numFmtId="166" fontId="0" fillId="0" borderId="2" xfId="23" applyNumberFormat="1" applyFont="1" applyFill="1" applyBorder="1"/>
    <xf numFmtId="167" fontId="0" fillId="0" borderId="10" xfId="1" applyNumberFormat="1" applyFont="1" applyBorder="1"/>
    <xf numFmtId="167" fontId="0" fillId="0" borderId="13" xfId="1" applyNumberFormat="1" applyFont="1" applyBorder="1"/>
    <xf numFmtId="0" fontId="0" fillId="0" borderId="16" xfId="0" applyBorder="1"/>
    <xf numFmtId="0" fontId="12" fillId="0" borderId="0" xfId="0" applyFont="1" applyAlignment="1">
      <alignment horizontal="left" vertical="top"/>
    </xf>
    <xf numFmtId="0" fontId="11" fillId="2" borderId="4" xfId="0" applyFont="1" applyFill="1" applyBorder="1"/>
    <xf numFmtId="0" fontId="11" fillId="2" borderId="5" xfId="0" applyFont="1" applyFill="1" applyBorder="1"/>
    <xf numFmtId="0" fontId="10" fillId="2" borderId="3" xfId="0" applyFont="1" applyFill="1" applyBorder="1"/>
    <xf numFmtId="0" fontId="10" fillId="2" borderId="4" xfId="0" applyFont="1" applyFill="1" applyBorder="1"/>
    <xf numFmtId="0" fontId="0" fillId="3" borderId="6" xfId="0" applyFill="1" applyBorder="1"/>
    <xf numFmtId="0" fontId="0" fillId="3" borderId="9" xfId="0" applyFill="1" applyBorder="1"/>
    <xf numFmtId="167" fontId="0" fillId="3" borderId="7" xfId="1" applyNumberFormat="1" applyFont="1" applyFill="1" applyBorder="1"/>
    <xf numFmtId="167" fontId="0" fillId="3" borderId="10" xfId="1" applyNumberFormat="1" applyFont="1" applyFill="1" applyBorder="1"/>
    <xf numFmtId="167" fontId="0" fillId="0" borderId="17" xfId="1" applyNumberFormat="1" applyFont="1" applyBorder="1"/>
    <xf numFmtId="165" fontId="0" fillId="3" borderId="7" xfId="1" applyNumberFormat="1" applyFont="1" applyFill="1" applyBorder="1"/>
    <xf numFmtId="165" fontId="0" fillId="3" borderId="8" xfId="1" applyNumberFormat="1" applyFont="1" applyFill="1" applyBorder="1"/>
    <xf numFmtId="165" fontId="0" fillId="3" borderId="10" xfId="1" applyNumberFormat="1" applyFont="1" applyFill="1" applyBorder="1"/>
    <xf numFmtId="165" fontId="0" fillId="3" borderId="11" xfId="1" applyNumberFormat="1" applyFont="1" applyFill="1" applyBorder="1"/>
    <xf numFmtId="165" fontId="0" fillId="0" borderId="17" xfId="1" applyNumberFormat="1" applyFont="1" applyBorder="1"/>
    <xf numFmtId="165" fontId="0" fillId="0" borderId="18" xfId="1" applyNumberFormat="1" applyFont="1" applyBorder="1"/>
    <xf numFmtId="166" fontId="2" fillId="3" borderId="7" xfId="23" applyNumberFormat="1" applyFont="1" applyFill="1" applyBorder="1"/>
    <xf numFmtId="166" fontId="2" fillId="3" borderId="8" xfId="23" applyNumberFormat="1" applyFont="1" applyFill="1" applyBorder="1"/>
    <xf numFmtId="166" fontId="2" fillId="0" borderId="10" xfId="23" applyNumberFormat="1" applyFont="1" applyBorder="1"/>
    <xf numFmtId="166" fontId="2" fillId="0" borderId="11" xfId="23" applyNumberFormat="1" applyFont="1" applyBorder="1"/>
    <xf numFmtId="166" fontId="2" fillId="3" borderId="10" xfId="23" applyNumberFormat="1" applyFont="1" applyFill="1" applyBorder="1"/>
    <xf numFmtId="166" fontId="2" fillId="3" borderId="11" xfId="23" applyNumberFormat="1" applyFont="1" applyFill="1" applyBorder="1"/>
    <xf numFmtId="166" fontId="2" fillId="0" borderId="17" xfId="23" applyNumberFormat="1" applyFont="1" applyBorder="1"/>
    <xf numFmtId="166" fontId="2" fillId="0" borderId="18" xfId="23" applyNumberFormat="1" applyFont="1" applyBorder="1"/>
    <xf numFmtId="166" fontId="2" fillId="0" borderId="13" xfId="23" applyNumberFormat="1" applyFont="1" applyBorder="1"/>
    <xf numFmtId="166" fontId="2" fillId="0" borderId="14" xfId="23" applyNumberFormat="1" applyFont="1" applyBorder="1"/>
    <xf numFmtId="0" fontId="0" fillId="0" borderId="6" xfId="0" applyBorder="1"/>
    <xf numFmtId="165" fontId="0" fillId="0" borderId="7" xfId="1" applyNumberFormat="1" applyFont="1" applyFill="1" applyBorder="1"/>
    <xf numFmtId="165" fontId="0" fillId="0" borderId="8" xfId="1" applyNumberFormat="1" applyFont="1" applyFill="1" applyBorder="1"/>
    <xf numFmtId="166" fontId="2" fillId="0" borderId="7" xfId="23" applyNumberFormat="1" applyFont="1" applyFill="1" applyBorder="1"/>
    <xf numFmtId="166" fontId="2" fillId="0" borderId="8" xfId="23" applyNumberFormat="1" applyFont="1" applyFill="1" applyBorder="1"/>
    <xf numFmtId="167" fontId="0" fillId="0" borderId="7" xfId="1" applyNumberFormat="1" applyFont="1" applyFill="1" applyBorder="1"/>
    <xf numFmtId="0" fontId="0" fillId="0" borderId="7" xfId="0" applyBorder="1" applyAlignment="1">
      <alignment vertical="top"/>
    </xf>
    <xf numFmtId="0" fontId="0" fillId="0" borderId="8" xfId="0" applyBorder="1" applyAlignment="1">
      <alignment vertical="top"/>
    </xf>
    <xf numFmtId="0" fontId="0" fillId="0" borderId="10" xfId="0" applyBorder="1" applyAlignment="1">
      <alignment vertical="top"/>
    </xf>
    <xf numFmtId="0" fontId="0" fillId="0" borderId="10" xfId="0" quotePrefix="1" applyBorder="1" applyAlignment="1">
      <alignment vertical="top"/>
    </xf>
    <xf numFmtId="0" fontId="0" fillId="0" borderId="11" xfId="0" applyBorder="1" applyAlignment="1">
      <alignment vertical="top"/>
    </xf>
    <xf numFmtId="0" fontId="0" fillId="0" borderId="17" xfId="0" applyBorder="1" applyAlignment="1">
      <alignment vertical="top"/>
    </xf>
    <xf numFmtId="0" fontId="0" fillId="0" borderId="18" xfId="0" applyBorder="1" applyAlignment="1">
      <alignment vertical="top"/>
    </xf>
    <xf numFmtId="0" fontId="0" fillId="0" borderId="13" xfId="0" applyBorder="1" applyAlignment="1">
      <alignment vertical="top"/>
    </xf>
    <xf numFmtId="0" fontId="0" fillId="0" borderId="14" xfId="0" applyBorder="1" applyAlignment="1">
      <alignment vertical="top"/>
    </xf>
    <xf numFmtId="0" fontId="6" fillId="0" borderId="7" xfId="24" applyBorder="1" applyAlignment="1">
      <alignment vertical="top" wrapText="1"/>
    </xf>
    <xf numFmtId="0" fontId="6" fillId="0" borderId="10" xfId="24" applyBorder="1" applyAlignment="1">
      <alignment vertical="top" wrapText="1"/>
    </xf>
    <xf numFmtId="0" fontId="6" fillId="0" borderId="17" xfId="24" applyBorder="1" applyAlignment="1">
      <alignment vertical="top" wrapText="1"/>
    </xf>
    <xf numFmtId="0" fontId="6" fillId="0" borderId="13" xfId="24" applyBorder="1" applyAlignment="1">
      <alignment vertical="top" wrapText="1"/>
    </xf>
    <xf numFmtId="0" fontId="0" fillId="0" borderId="7" xfId="0" applyBorder="1" applyAlignment="1">
      <alignment vertical="top" wrapText="1"/>
    </xf>
    <xf numFmtId="0" fontId="0" fillId="0" borderId="10" xfId="0" applyBorder="1" applyAlignment="1">
      <alignment vertical="top" wrapText="1"/>
    </xf>
    <xf numFmtId="0" fontId="0" fillId="0" borderId="17" xfId="0" applyBorder="1" applyAlignment="1">
      <alignment vertical="top" wrapText="1"/>
    </xf>
    <xf numFmtId="0" fontId="0" fillId="0" borderId="13" xfId="0" applyBorder="1" applyAlignment="1">
      <alignment vertical="top" wrapText="1"/>
    </xf>
    <xf numFmtId="1" fontId="0" fillId="0" borderId="10" xfId="1" applyNumberFormat="1" applyFont="1" applyBorder="1"/>
    <xf numFmtId="1" fontId="0" fillId="0" borderId="11" xfId="1" applyNumberFormat="1" applyFont="1" applyBorder="1"/>
    <xf numFmtId="1" fontId="0" fillId="3" borderId="7" xfId="1" applyNumberFormat="1" applyFont="1" applyFill="1" applyBorder="1"/>
    <xf numFmtId="1" fontId="0" fillId="3" borderId="8" xfId="1" applyNumberFormat="1" applyFont="1" applyFill="1" applyBorder="1"/>
    <xf numFmtId="1" fontId="0" fillId="3" borderId="10" xfId="1" applyNumberFormat="1" applyFont="1" applyFill="1" applyBorder="1"/>
    <xf numFmtId="1" fontId="0" fillId="3" borderId="11" xfId="1" applyNumberFormat="1" applyFont="1" applyFill="1" applyBorder="1"/>
    <xf numFmtId="1" fontId="0" fillId="0" borderId="17" xfId="1" applyNumberFormat="1" applyFont="1" applyBorder="1"/>
    <xf numFmtId="1" fontId="0" fillId="0" borderId="18" xfId="1" applyNumberFormat="1" applyFont="1" applyBorder="1"/>
    <xf numFmtId="1" fontId="0" fillId="0" borderId="13" xfId="1" applyNumberFormat="1" applyFont="1" applyBorder="1"/>
    <xf numFmtId="1" fontId="0" fillId="0" borderId="14" xfId="1" applyNumberFormat="1" applyFont="1" applyBorder="1"/>
    <xf numFmtId="0" fontId="0" fillId="0" borderId="0" xfId="0" applyAlignment="1">
      <alignment vertical="top"/>
    </xf>
    <xf numFmtId="0" fontId="11" fillId="2" borderId="4" xfId="0" applyFont="1" applyFill="1" applyBorder="1" applyAlignment="1">
      <alignment vertical="top"/>
    </xf>
    <xf numFmtId="0" fontId="11" fillId="2" borderId="3" xfId="0" applyFont="1" applyFill="1" applyBorder="1" applyAlignment="1">
      <alignment vertical="top"/>
    </xf>
    <xf numFmtId="0" fontId="0" fillId="0" borderId="6" xfId="0" applyBorder="1" applyAlignment="1">
      <alignment vertical="top"/>
    </xf>
    <xf numFmtId="0" fontId="0" fillId="0" borderId="9" xfId="0" applyBorder="1" applyAlignment="1">
      <alignment vertical="top"/>
    </xf>
    <xf numFmtId="0" fontId="0" fillId="0" borderId="16" xfId="0" applyBorder="1" applyAlignment="1">
      <alignment vertical="top"/>
    </xf>
    <xf numFmtId="0" fontId="0" fillId="0" borderId="12" xfId="0" applyBorder="1" applyAlignment="1">
      <alignment vertical="top"/>
    </xf>
    <xf numFmtId="0" fontId="9" fillId="0" borderId="0" xfId="0" applyFont="1"/>
    <xf numFmtId="0" fontId="0" fillId="0" borderId="0" xfId="0"/>
    <xf numFmtId="0" fontId="1" fillId="0" borderId="0" xfId="0" applyFont="1" applyAlignment="1">
      <alignment horizontal="left"/>
    </xf>
    <xf numFmtId="0" fontId="0" fillId="0" borderId="0" xfId="0" applyAlignment="1">
      <alignment horizontal="left" wrapText="1"/>
    </xf>
    <xf numFmtId="0" fontId="0" fillId="0" borderId="0" xfId="0" applyAlignment="1">
      <alignment horizontal="left"/>
    </xf>
    <xf numFmtId="0" fontId="0" fillId="0" borderId="0" xfId="0" applyAlignment="1">
      <alignment wrapText="1"/>
    </xf>
    <xf numFmtId="167" fontId="0" fillId="4" borderId="7" xfId="1" applyNumberFormat="1" applyFont="1" applyFill="1" applyBorder="1"/>
    <xf numFmtId="167" fontId="0" fillId="4" borderId="8" xfId="1" applyNumberFormat="1" applyFont="1" applyFill="1" applyBorder="1"/>
    <xf numFmtId="167" fontId="0" fillId="4" borderId="10" xfId="1" applyNumberFormat="1" applyFont="1" applyFill="1" applyBorder="1"/>
    <xf numFmtId="167" fontId="0" fillId="4" borderId="11" xfId="1" applyNumberFormat="1" applyFont="1" applyFill="1" applyBorder="1"/>
    <xf numFmtId="167" fontId="0" fillId="4" borderId="17" xfId="1" applyNumberFormat="1" applyFont="1" applyFill="1" applyBorder="1"/>
    <xf numFmtId="167" fontId="0" fillId="4" borderId="18" xfId="1" applyNumberFormat="1" applyFont="1" applyFill="1" applyBorder="1"/>
    <xf numFmtId="167" fontId="0" fillId="4" borderId="13" xfId="1" applyNumberFormat="1" applyFont="1" applyFill="1" applyBorder="1"/>
    <xf numFmtId="167" fontId="0" fillId="4" borderId="14" xfId="1" applyNumberFormat="1" applyFont="1" applyFill="1" applyBorder="1"/>
    <xf numFmtId="2" fontId="0" fillId="0" borderId="1" xfId="1" applyNumberFormat="1" applyFont="1" applyFill="1" applyBorder="1"/>
    <xf numFmtId="2" fontId="0" fillId="4" borderId="1" xfId="1" applyNumberFormat="1" applyFont="1" applyFill="1" applyBorder="1"/>
    <xf numFmtId="2" fontId="0" fillId="4" borderId="2" xfId="1" applyNumberFormat="1" applyFont="1" applyFill="1" applyBorder="1"/>
    <xf numFmtId="0" fontId="10" fillId="2" borderId="19" xfId="0" applyFont="1" applyFill="1" applyBorder="1"/>
    <xf numFmtId="0" fontId="10" fillId="2" borderId="20" xfId="0" applyFont="1" applyFill="1" applyBorder="1"/>
    <xf numFmtId="166" fontId="2" fillId="3" borderId="21" xfId="23" applyNumberFormat="1" applyFont="1" applyFill="1" applyBorder="1"/>
    <xf numFmtId="166" fontId="2" fillId="3" borderId="22" xfId="23" applyNumberFormat="1" applyFont="1" applyFill="1" applyBorder="1"/>
    <xf numFmtId="166" fontId="2" fillId="0" borderId="23" xfId="23" applyNumberFormat="1" applyFont="1" applyBorder="1"/>
    <xf numFmtId="166" fontId="2" fillId="3" borderId="23" xfId="23" applyNumberFormat="1" applyFont="1" applyFill="1" applyBorder="1"/>
    <xf numFmtId="166" fontId="2" fillId="0" borderId="24" xfId="23" applyNumberFormat="1" applyFont="1" applyBorder="1"/>
    <xf numFmtId="166" fontId="2" fillId="0" borderId="25" xfId="23" applyNumberFormat="1" applyFont="1" applyBorder="1"/>
    <xf numFmtId="166" fontId="2" fillId="0" borderId="26" xfId="23" applyNumberFormat="1" applyFont="1" applyBorder="1"/>
    <xf numFmtId="168" fontId="0" fillId="3" borderId="7" xfId="1" applyNumberFormat="1" applyFont="1" applyFill="1" applyBorder="1"/>
    <xf numFmtId="168" fontId="0" fillId="4" borderId="7" xfId="1" applyNumberFormat="1" applyFont="1" applyFill="1" applyBorder="1"/>
    <xf numFmtId="168" fontId="0" fillId="4" borderId="8" xfId="1" applyNumberFormat="1" applyFont="1" applyFill="1" applyBorder="1"/>
    <xf numFmtId="168" fontId="0" fillId="0" borderId="10" xfId="1" applyNumberFormat="1" applyFont="1" applyBorder="1"/>
    <xf numFmtId="168" fontId="0" fillId="4" borderId="10" xfId="1" applyNumberFormat="1" applyFont="1" applyFill="1" applyBorder="1"/>
    <xf numFmtId="168" fontId="0" fillId="4" borderId="11" xfId="1" applyNumberFormat="1" applyFont="1" applyFill="1" applyBorder="1"/>
    <xf numFmtId="1" fontId="0" fillId="4" borderId="10" xfId="1" applyNumberFormat="1" applyFont="1" applyFill="1" applyBorder="1"/>
    <xf numFmtId="1" fontId="0" fillId="4" borderId="11" xfId="1" applyNumberFormat="1" applyFont="1" applyFill="1" applyBorder="1"/>
    <xf numFmtId="168" fontId="0" fillId="3" borderId="10" xfId="1" applyNumberFormat="1" applyFont="1" applyFill="1" applyBorder="1"/>
    <xf numFmtId="168" fontId="0" fillId="0" borderId="17" xfId="1" applyNumberFormat="1" applyFont="1" applyBorder="1"/>
    <xf numFmtId="168" fontId="0" fillId="4" borderId="17" xfId="1" applyNumberFormat="1" applyFont="1" applyFill="1" applyBorder="1"/>
    <xf numFmtId="168" fontId="0" fillId="4" borderId="18" xfId="1" applyNumberFormat="1" applyFont="1" applyFill="1" applyBorder="1"/>
    <xf numFmtId="1" fontId="0" fillId="4" borderId="13" xfId="1" applyNumberFormat="1" applyFont="1" applyFill="1" applyBorder="1"/>
    <xf numFmtId="1" fontId="0" fillId="4" borderId="14" xfId="1" applyNumberFormat="1" applyFont="1" applyFill="1" applyBorder="1"/>
    <xf numFmtId="165" fontId="0" fillId="0" borderId="27" xfId="1" applyNumberFormat="1" applyFont="1" applyFill="1" applyBorder="1"/>
    <xf numFmtId="165" fontId="0" fillId="0" borderId="28" xfId="1" applyNumberFormat="1" applyFont="1" applyFill="1" applyBorder="1"/>
    <xf numFmtId="0" fontId="10" fillId="2" borderId="29" xfId="0" applyFont="1" applyFill="1" applyBorder="1"/>
    <xf numFmtId="166" fontId="0" fillId="0" borderId="30" xfId="23" applyNumberFormat="1" applyFont="1" applyFill="1" applyBorder="1"/>
    <xf numFmtId="166" fontId="0" fillId="0" borderId="31" xfId="23" applyNumberFormat="1" applyFont="1" applyFill="1" applyBorder="1"/>
  </cellXfs>
  <cellStyles count="25">
    <cellStyle name="Comma" xfId="1" builtinId="3"/>
    <cellStyle name="Comma 2" xfId="4" xr:uid="{00000000-0005-0000-0000-000001000000}"/>
    <cellStyle name="Comma 2 2" xfId="17" xr:uid="{00000000-0005-0000-0000-000002000000}"/>
    <cellStyle name="Comma 3" xfId="8" xr:uid="{00000000-0005-0000-0000-000003000000}"/>
    <cellStyle name="Hyperlink" xfId="24" builtinId="8"/>
    <cellStyle name="Hyperlink 2" xfId="15" xr:uid="{00000000-0005-0000-0000-000004000000}"/>
    <cellStyle name="Hyperlink 2 2" xfId="19" xr:uid="{00000000-0005-0000-0000-000005000000}"/>
    <cellStyle name="Hyperlink 3" xfId="9" xr:uid="{00000000-0005-0000-0000-000006000000}"/>
    <cellStyle name="Normal" xfId="0" builtinId="0"/>
    <cellStyle name="Normal 2" xfId="3" xr:uid="{00000000-0005-0000-0000-000008000000}"/>
    <cellStyle name="Normal 2 2" xfId="7" xr:uid="{00000000-0005-0000-0000-000009000000}"/>
    <cellStyle name="Normal 2 2 2" xfId="10" xr:uid="{00000000-0005-0000-0000-00000A000000}"/>
    <cellStyle name="Normal 2 3" xfId="14" xr:uid="{00000000-0005-0000-0000-00000B000000}"/>
    <cellStyle name="Normal 3" xfId="5" xr:uid="{00000000-0005-0000-0000-00000C000000}"/>
    <cellStyle name="Normal 3 2" xfId="20" xr:uid="{00000000-0005-0000-0000-00000D000000}"/>
    <cellStyle name="Normal 4" xfId="2" xr:uid="{00000000-0005-0000-0000-00000E000000}"/>
    <cellStyle name="Normal 4 2" xfId="12" xr:uid="{00000000-0005-0000-0000-00000F000000}"/>
    <cellStyle name="Normal 4 3" xfId="16" xr:uid="{00000000-0005-0000-0000-000010000000}"/>
    <cellStyle name="Normal 5" xfId="13" xr:uid="{00000000-0005-0000-0000-000011000000}"/>
    <cellStyle name="Normal 5 2" xfId="21" xr:uid="{00000000-0005-0000-0000-000012000000}"/>
    <cellStyle name="Percent" xfId="23" builtinId="5"/>
    <cellStyle name="Percent 2" xfId="6" xr:uid="{00000000-0005-0000-0000-000014000000}"/>
    <cellStyle name="Percent 2 2" xfId="18" xr:uid="{00000000-0005-0000-0000-000015000000}"/>
    <cellStyle name="Percent 3" xfId="22" xr:uid="{00000000-0005-0000-0000-000016000000}"/>
    <cellStyle name="wiiw" xfId="11" xr:uid="{00000000-0005-0000-0000-000017000000}"/>
  </cellStyles>
  <dxfs count="0"/>
  <tableStyles count="0" defaultTableStyle="TableStyleMedium2" defaultPivotStyle="PivotStyleMedium9"/>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30"/>
  <sheetViews>
    <sheetView showGridLines="0" tabSelected="1" zoomScale="80" zoomScaleNormal="80" workbookViewId="0">
      <selection sqref="A1:B1"/>
    </sheetView>
  </sheetViews>
  <sheetFormatPr defaultRowHeight="14.5" x14ac:dyDescent="0.35"/>
  <cols>
    <col min="1" max="1" width="4.6328125" style="73" customWidth="1"/>
    <col min="2" max="2" width="75.90625" style="73" customWidth="1"/>
    <col min="3" max="3" width="50.26953125" customWidth="1"/>
    <col min="4" max="4" width="32.1796875" bestFit="1" customWidth="1"/>
    <col min="5" max="5" width="14.1796875" bestFit="1" customWidth="1"/>
  </cols>
  <sheetData>
    <row r="1" spans="1:5" ht="28.5" x14ac:dyDescent="0.65">
      <c r="A1" s="80" t="s">
        <v>2</v>
      </c>
      <c r="B1" s="81"/>
    </row>
    <row r="2" spans="1:5" ht="15" thickBot="1" x14ac:dyDescent="0.4"/>
    <row r="3" spans="1:5" ht="22" thickTop="1" thickBot="1" x14ac:dyDescent="0.55000000000000004">
      <c r="A3" s="75" t="s">
        <v>95</v>
      </c>
      <c r="B3" s="74" t="s">
        <v>3</v>
      </c>
      <c r="C3" s="15" t="s">
        <v>4</v>
      </c>
      <c r="D3" s="15" t="s">
        <v>5</v>
      </c>
      <c r="E3" s="16" t="s">
        <v>6</v>
      </c>
    </row>
    <row r="4" spans="1:5" ht="15" thickTop="1" x14ac:dyDescent="0.35">
      <c r="A4" s="76">
        <v>1</v>
      </c>
      <c r="B4" s="55" t="str">
        <f>Indicator_1!A1</f>
        <v>Children 0-17 years old victims of crime, during the year</v>
      </c>
      <c r="C4" s="59" t="str">
        <f>Indicator_1!B3</f>
        <v xml:space="preserve">General Directorate of Police </v>
      </c>
      <c r="D4" s="46" t="s">
        <v>7</v>
      </c>
      <c r="E4" s="47">
        <v>2024</v>
      </c>
    </row>
    <row r="5" spans="1:5" x14ac:dyDescent="0.35">
      <c r="A5" s="77">
        <v>2</v>
      </c>
      <c r="B5" s="56" t="str">
        <f>Indicator_2!A1</f>
        <v>Ratio of children 0-17 victims of crime, to the total of victims, during the year</v>
      </c>
      <c r="C5" s="60" t="str">
        <f>Indicator_2!B3</f>
        <v xml:space="preserve">INSTAT / General Directorate of Police </v>
      </c>
      <c r="D5" s="49" t="s">
        <v>7</v>
      </c>
      <c r="E5" s="50">
        <v>2024</v>
      </c>
    </row>
    <row r="6" spans="1:5" x14ac:dyDescent="0.35">
      <c r="A6" s="77">
        <v>3</v>
      </c>
      <c r="B6" s="56" t="str">
        <f>Indicator_3!A1</f>
        <v>Rate of children 0-17 victims of crime, during the year (per 100,000)</v>
      </c>
      <c r="C6" s="60" t="str">
        <f>Indicator_3!B3</f>
        <v>INSTAT / General Directorate of Police</v>
      </c>
      <c r="D6" s="49" t="s">
        <v>7</v>
      </c>
      <c r="E6" s="50">
        <v>2022</v>
      </c>
    </row>
    <row r="7" spans="1:5" ht="29" x14ac:dyDescent="0.35">
      <c r="A7" s="77">
        <v>4</v>
      </c>
      <c r="B7" s="56" t="str">
        <f>Indicator_4!A1</f>
        <v>Rate of children 0-17 years old victims of intentional murder, during the year (per 100,000)</v>
      </c>
      <c r="C7" s="60" t="str">
        <f>Indicator_4!B3</f>
        <v xml:space="preserve">INSTAT / General Directorate of Police </v>
      </c>
      <c r="D7" s="49" t="s">
        <v>1</v>
      </c>
      <c r="E7" s="50">
        <v>2024</v>
      </c>
    </row>
    <row r="8" spans="1:5" ht="29" x14ac:dyDescent="0.35">
      <c r="A8" s="77">
        <v>5</v>
      </c>
      <c r="B8" s="56" t="str">
        <f>Indicator_5!A1</f>
        <v>Victims and potential victims of human trafficking, during the year</v>
      </c>
      <c r="C8" s="60" t="str">
        <f>Indicator_5!B3</f>
        <v>Ministry of Interior / National coordinator for anti-trafficking</v>
      </c>
      <c r="D8" s="48" t="s">
        <v>8</v>
      </c>
      <c r="E8" s="50">
        <v>2024</v>
      </c>
    </row>
    <row r="9" spans="1:5" ht="29" x14ac:dyDescent="0.35">
      <c r="A9" s="77">
        <v>6</v>
      </c>
      <c r="B9" s="56" t="str">
        <f>Indicator_6!A1</f>
        <v>Rate of victims and potential victims of human trafficking, during the year (per 100,000)</v>
      </c>
      <c r="C9" s="60" t="str">
        <f>Indicator_6!B3</f>
        <v>INSTAT / Ministry of Interior / National coordinator for anti-trafficking</v>
      </c>
      <c r="D9" s="48" t="s">
        <v>8</v>
      </c>
      <c r="E9" s="50">
        <v>2022</v>
      </c>
    </row>
    <row r="10" spans="1:5" ht="29" x14ac:dyDescent="0.35">
      <c r="A10" s="77">
        <v>7</v>
      </c>
      <c r="B10" s="56" t="str">
        <f>Indicator_7!A1</f>
        <v>Children 0-17 years old victims and potential victims of human trafficking, during the year</v>
      </c>
      <c r="C10" s="60" t="str">
        <f>Indicator_7!B3</f>
        <v>Ministry of Interior / National coordinator for anti-trafficking</v>
      </c>
      <c r="D10" s="48" t="s">
        <v>8</v>
      </c>
      <c r="E10" s="50">
        <v>2024</v>
      </c>
    </row>
    <row r="11" spans="1:5" ht="29" x14ac:dyDescent="0.35">
      <c r="A11" s="77">
        <v>8</v>
      </c>
      <c r="B11" s="56" t="str">
        <f>Indicator_8!A1</f>
        <v>Ratio of children 0-17 years old victims and possible victims of human trafficking, during the year</v>
      </c>
      <c r="C11" s="60" t="str">
        <f>Indicator_8!B3</f>
        <v>INSTAT / Ministry of Interior / National coordinator for anti-trafficking</v>
      </c>
      <c r="D11" s="48" t="s">
        <v>8</v>
      </c>
      <c r="E11" s="50">
        <v>2024</v>
      </c>
    </row>
    <row r="12" spans="1:5" ht="29" x14ac:dyDescent="0.35">
      <c r="A12" s="77">
        <v>9</v>
      </c>
      <c r="B12" s="56" t="str">
        <f>Indicator_9!A1</f>
        <v>Rate of children 0-17 years old victims and potential victims of human trafficking, during the year (per 100,000)</v>
      </c>
      <c r="C12" s="60" t="str">
        <f>Indicator_9!B3</f>
        <v>INSTAT / Ministry of Interior / National coordinator for anti-trafficking</v>
      </c>
      <c r="D12" s="48" t="s">
        <v>8</v>
      </c>
      <c r="E12" s="50">
        <v>2022</v>
      </c>
    </row>
    <row r="13" spans="1:5" x14ac:dyDescent="0.35">
      <c r="A13" s="77">
        <v>10</v>
      </c>
      <c r="B13" s="56" t="str">
        <f>Indicator_10!A1</f>
        <v>Children under 17 years old, alleged offenders, during the year</v>
      </c>
      <c r="C13" s="60" t="str">
        <f>Indicator_10!B3</f>
        <v xml:space="preserve">General Directorate of State Police </v>
      </c>
      <c r="D13" s="48" t="s">
        <v>9</v>
      </c>
      <c r="E13" s="50">
        <v>2024</v>
      </c>
    </row>
    <row r="14" spans="1:5" x14ac:dyDescent="0.35">
      <c r="A14" s="77">
        <v>11</v>
      </c>
      <c r="B14" s="56" t="str">
        <f>Indicator_11!A1</f>
        <v>Ratio of children under 17 years old, to the total of alleged offenders, during the year</v>
      </c>
      <c r="C14" s="60" t="str">
        <f>Indicator_11!B3</f>
        <v xml:space="preserve">INSTAT / General Directorate of State Police </v>
      </c>
      <c r="D14" s="48" t="s">
        <v>9</v>
      </c>
      <c r="E14" s="50">
        <v>2024</v>
      </c>
    </row>
    <row r="15" spans="1:5" x14ac:dyDescent="0.35">
      <c r="A15" s="78">
        <v>12</v>
      </c>
      <c r="B15" s="57" t="str">
        <f>Indicator_12!A1</f>
        <v>Rate of children under 17 years old alleged offenders, during the year (per 100,000)</v>
      </c>
      <c r="C15" s="61" t="str">
        <f>Indicator_12!B3</f>
        <v xml:space="preserve">INSTAT / General Directorate of State Police </v>
      </c>
      <c r="D15" s="48" t="s">
        <v>9</v>
      </c>
      <c r="E15" s="52">
        <v>2022</v>
      </c>
    </row>
    <row r="16" spans="1:5" ht="29" x14ac:dyDescent="0.35">
      <c r="A16" s="78">
        <v>13</v>
      </c>
      <c r="B16" s="57" t="str">
        <f>Indicator_13!A1</f>
        <v>Children 14-17 years old in institutions for the execution of criminal decisions, at the end of the year</v>
      </c>
      <c r="C16" s="61" t="str">
        <f>Indicator_13!B3</f>
        <v>General Directorate of Prisons</v>
      </c>
      <c r="D16" s="51" t="s">
        <v>10</v>
      </c>
      <c r="E16" s="52">
        <v>2024</v>
      </c>
    </row>
    <row r="17" spans="1:5" ht="29" x14ac:dyDescent="0.35">
      <c r="A17" s="78">
        <v>14</v>
      </c>
      <c r="B17" s="57" t="str">
        <f>Indicator_14!A1</f>
        <v>Ratio of children 14-17 years old in institutions for the execution of criminal decisions, at the end of the year</v>
      </c>
      <c r="C17" s="61" t="str">
        <f>Indicator_14!B3</f>
        <v>INSTAT/ General Directorate of Prisons</v>
      </c>
      <c r="D17" s="51" t="s">
        <v>10</v>
      </c>
      <c r="E17" s="52">
        <v>2024</v>
      </c>
    </row>
    <row r="18" spans="1:5" ht="29" x14ac:dyDescent="0.35">
      <c r="A18" s="78">
        <v>15</v>
      </c>
      <c r="B18" s="57" t="str">
        <f>Indicator_15!A1</f>
        <v>Rate of children 14-17 years old in institutions for the execution of criminal decisions, at the end of the year (per 100,000)</v>
      </c>
      <c r="C18" s="61" t="str">
        <f>Indicator_15!B3</f>
        <v>INSTAT/ General Directorate of Prisons</v>
      </c>
      <c r="D18" s="51" t="s">
        <v>10</v>
      </c>
      <c r="E18" s="52">
        <v>2022</v>
      </c>
    </row>
    <row r="19" spans="1:5" ht="29" x14ac:dyDescent="0.35">
      <c r="A19" s="78">
        <v>16</v>
      </c>
      <c r="B19" s="57" t="str">
        <f>Indicator_16!A1</f>
        <v>Ratio of children 14-17 years old in institutions for the execution of criminal decisions, at the end of the year</v>
      </c>
      <c r="C19" s="61" t="str">
        <f>Indicator_16!B3</f>
        <v>INSTAT / General Directorate of Prisons</v>
      </c>
      <c r="D19" s="48" t="s">
        <v>8</v>
      </c>
      <c r="E19" s="50">
        <v>2024</v>
      </c>
    </row>
    <row r="20" spans="1:5" ht="29" x14ac:dyDescent="0.35">
      <c r="A20" s="78">
        <v>17</v>
      </c>
      <c r="B20" s="57" t="str">
        <f>Indicator_17!A1</f>
        <v>Ratio of young people 14-24 years old in institutions for the execution of criminal decisions, at the end of the year</v>
      </c>
      <c r="C20" s="61" t="str">
        <f>Indicator_17!B3</f>
        <v>INSTAT / General Directorate of Prisons</v>
      </c>
      <c r="D20" s="48" t="s">
        <v>8</v>
      </c>
      <c r="E20" s="50">
        <v>2024</v>
      </c>
    </row>
    <row r="21" spans="1:5" x14ac:dyDescent="0.35">
      <c r="A21" s="78">
        <v>18</v>
      </c>
      <c r="B21" s="57" t="str">
        <f>Indicator_18!A1</f>
        <v>Recidivism of children 14-17 years old in pre-sentence detention, during the year</v>
      </c>
      <c r="C21" s="61" t="str">
        <f>Indicator_18!B3</f>
        <v>General Directorate of Prisons</v>
      </c>
      <c r="D21" s="51" t="s">
        <v>1</v>
      </c>
      <c r="E21" s="52">
        <v>2024</v>
      </c>
    </row>
    <row r="22" spans="1:5" ht="29" x14ac:dyDescent="0.35">
      <c r="A22" s="78">
        <v>19</v>
      </c>
      <c r="B22" s="57" t="str">
        <f>Indicator_19!A1</f>
        <v>Children 14-17 years old alleged offenders, whose cases are handled by first-degree courts, during the year</v>
      </c>
      <c r="C22" s="61" t="str">
        <f>Indicator_19!B3</f>
        <v xml:space="preserve">Ministry of Justice </v>
      </c>
      <c r="D22" s="51" t="s">
        <v>94</v>
      </c>
      <c r="E22" s="52">
        <v>2023</v>
      </c>
    </row>
    <row r="23" spans="1:5" x14ac:dyDescent="0.35">
      <c r="A23" s="78">
        <v>20</v>
      </c>
      <c r="B23" s="57" t="str">
        <f>Indicator_20!A1</f>
        <v>Children 14-17 sentenced to alternative measures by first-degree courts, during the year</v>
      </c>
      <c r="C23" s="61" t="str">
        <f>Indicator_20!B3</f>
        <v>Ministry of Justice</v>
      </c>
      <c r="D23" s="51" t="s">
        <v>94</v>
      </c>
      <c r="E23" s="52">
        <v>2023</v>
      </c>
    </row>
    <row r="24" spans="1:5" ht="29" x14ac:dyDescent="0.35">
      <c r="A24" s="78">
        <v>21</v>
      </c>
      <c r="B24" s="57" t="str">
        <f>Indicator_21!A1</f>
        <v>Children 14-17 years old sentenced to deprivation of liberty by first-degree courts, during the year</v>
      </c>
      <c r="C24" s="61" t="str">
        <f>Indicator_21!B3</f>
        <v>Ministry of Justice</v>
      </c>
      <c r="D24" s="51" t="s">
        <v>94</v>
      </c>
      <c r="E24" s="52">
        <v>2023</v>
      </c>
    </row>
    <row r="25" spans="1:5" ht="29" x14ac:dyDescent="0.35">
      <c r="A25" s="78">
        <v>22</v>
      </c>
      <c r="B25" s="57" t="str">
        <f>Indicator_22!A1</f>
        <v>Ratio of children 14-17 years old sentenced to alternative measures, to the total of children convicted by first-degree courts, during the year</v>
      </c>
      <c r="C25" s="61" t="str">
        <f>Indicator_22!B3</f>
        <v>INSTAT / Ministry of Justice</v>
      </c>
      <c r="D25" s="51" t="s">
        <v>1</v>
      </c>
      <c r="E25" s="52">
        <v>2023</v>
      </c>
    </row>
    <row r="26" spans="1:5" ht="29" x14ac:dyDescent="0.35">
      <c r="A26" s="78">
        <v>23</v>
      </c>
      <c r="B26" s="57" t="str">
        <f>Indicator_23!A1</f>
        <v>Ratio of children 14-17 years old sentenced to deprivation of liberty,  to the total of children convicted by first-degree courts, during the year</v>
      </c>
      <c r="C26" s="61" t="str">
        <f>Indicator_23!B3</f>
        <v xml:space="preserve">INSTAT / Ministry of Justice </v>
      </c>
      <c r="D26" s="51" t="s">
        <v>1</v>
      </c>
      <c r="E26" s="52">
        <v>2023</v>
      </c>
    </row>
    <row r="27" spans="1:5" ht="29" x14ac:dyDescent="0.35">
      <c r="A27" s="78">
        <v>24</v>
      </c>
      <c r="B27" s="57" t="str">
        <f>Indicator_24!A1</f>
        <v>Children 14-17 years old alleged offenders, whose cases are handled by the prosecution, during the year</v>
      </c>
      <c r="C27" s="61" t="str">
        <f>Indicator_24!B3</f>
        <v>General Prosecutor Office</v>
      </c>
      <c r="D27" s="51" t="s">
        <v>8</v>
      </c>
      <c r="E27" s="52">
        <v>2023</v>
      </c>
    </row>
    <row r="28" spans="1:5" ht="29" x14ac:dyDescent="0.35">
      <c r="A28" s="78">
        <v>25</v>
      </c>
      <c r="B28" s="57" t="str">
        <f>Indicator_25!A1</f>
        <v>Ratio of children 14-17 years old, to the total of alleged offenders, handled by the prosecution, during the year</v>
      </c>
      <c r="C28" s="61" t="str">
        <f>Indicator_25!B3</f>
        <v>INSTAT / General Prosecutor Office</v>
      </c>
      <c r="D28" s="51" t="s">
        <v>8</v>
      </c>
      <c r="E28" s="52">
        <v>2023</v>
      </c>
    </row>
    <row r="29" spans="1:5" ht="29.5" thickBot="1" x14ac:dyDescent="0.4">
      <c r="A29" s="79">
        <v>26</v>
      </c>
      <c r="B29" s="58" t="str">
        <f>Indicator_26!A1</f>
        <v>Rate of children 14-17 years old alleged offenders, whose cases are handled by the prosecution, during the year (per 100,000)</v>
      </c>
      <c r="C29" s="62" t="str">
        <f>Indicator_26!B3</f>
        <v>INSTAT / General Prosecutor Office</v>
      </c>
      <c r="D29" s="53" t="s">
        <v>8</v>
      </c>
      <c r="E29" s="54">
        <v>2022</v>
      </c>
    </row>
    <row r="30" spans="1:5" ht="15" thickTop="1" x14ac:dyDescent="0.35"/>
  </sheetData>
  <mergeCells count="1">
    <mergeCell ref="A1:B1"/>
  </mergeCells>
  <hyperlinks>
    <hyperlink ref="B4" location="Indicator_1!A1" display="Indicator_1!A1" xr:uid="{99D88ACF-3F47-4AC2-8DC8-DC5E24BDEADA}"/>
    <hyperlink ref="B5" location="Indicator_2!A1" display="Indicator_2!A1" xr:uid="{60770808-C241-4BBB-BEA7-062425C76A40}"/>
    <hyperlink ref="B6" location="Indicator_3!A1" display="Indicator_3!A1" xr:uid="{8B915891-F0E1-4C74-9458-FAE88045DF7B}"/>
    <hyperlink ref="B7" location="Indicator_4!A1" display="Indicator_4!A1" xr:uid="{19E93356-65E1-4E67-B15D-BB775DD8DF88}"/>
    <hyperlink ref="B8" location="Indicator_5!A1" display="Indicator_5!A1" xr:uid="{73ED9F6E-56F1-48DC-9725-5482D26E8C6B}"/>
    <hyperlink ref="B9" location="Indicator_6!A1" display="Indicator_6!A1" xr:uid="{257A0491-6F04-4AF0-9F9C-ACC68090435F}"/>
    <hyperlink ref="B10" location="Indicator_7!A1" display="Indicator_7!A1" xr:uid="{4EA3CEB0-EFCE-4212-AA60-E152B0BA08E6}"/>
    <hyperlink ref="B11" location="Indicator_8!A1" display="Indicator_8!A1" xr:uid="{85FD8A3F-D046-4565-BCD1-F733E70AB5AD}"/>
    <hyperlink ref="B12" location="Indicator_9!A1" display="Indicator_9!A1" xr:uid="{D309245B-FF49-43F3-8E49-280ED7674E60}"/>
    <hyperlink ref="B13" location="Indicator_10!A1" display="Indicator_10!A1" xr:uid="{A80D807E-0544-4284-8945-168B3AA1911A}"/>
    <hyperlink ref="B14" location="Indicator_11!A1" display="Indicator_11!A1" xr:uid="{2DB653C5-6D3C-4EB5-AE6E-34BE417FF055}"/>
    <hyperlink ref="B15" location="Indicator_12!A1" display="Indicator_12!A1" xr:uid="{91E01B6B-EFB9-45B2-9830-F84413A22F22}"/>
    <hyperlink ref="B16" location="Indicator_13!A1" display="Indicator_13!A1" xr:uid="{1E8ECD72-05D8-4BA2-ADB3-6C49527B6929}"/>
    <hyperlink ref="B17" location="Indicator_14!A1" display="Indicator_14!A1" xr:uid="{07792BAB-DC53-4122-8957-873FE06BE615}"/>
    <hyperlink ref="B18" location="Indicator_15!A1" display="Indicator_15!A1" xr:uid="{D71B6293-27E3-4D3E-ADB3-10D1F9D1475C}"/>
    <hyperlink ref="B19" location="Indicator_16!A1" display="Indicator_16!A1" xr:uid="{1072F788-AC33-40FE-9488-21E54556B1E1}"/>
    <hyperlink ref="B20" location="Indicator_17!A1" display="Indicator_17!A1" xr:uid="{DDB70E11-34A5-4C4D-97F8-156EB3DC3BED}"/>
    <hyperlink ref="B21" location="Indicator_18!A1" display="Indicator_18!A1" xr:uid="{288E572B-ECD4-4B42-80FA-F55A027921B9}"/>
    <hyperlink ref="B22" location="Indicator_19!A1" display="Indicator_19!A1" xr:uid="{14A9610E-8B0E-4120-BAF8-134DC930D8C1}"/>
    <hyperlink ref="B29" location="Indicator_26!A1" display="Indicator_26!A1" xr:uid="{C9BB6CD5-290A-4850-9F62-6088352F2AEE}"/>
    <hyperlink ref="B23" location="Indicator_20!A1" display="Indicator_20!A1" xr:uid="{47DD116B-D5D8-48B8-BCAC-57799F1E20A9}"/>
    <hyperlink ref="B24" location="Indicator_21!A1" display="Indicator_21!A1" xr:uid="{CEA2667A-F42A-43CF-B169-5EC7F3BEA767}"/>
    <hyperlink ref="B25" location="Indicator_22!A1" display="Indicator_22!A1" xr:uid="{DF439F4E-D084-4B24-8A37-85AF44992F98}"/>
    <hyperlink ref="B26" location="Indicator_23!A1" display="Indicator_23!A1" xr:uid="{5FF2A39F-1CA5-457B-9257-4C447CA5C725}"/>
    <hyperlink ref="B27" location="Indicator_24!A1" display="Indicator_24!A1" xr:uid="{00E5A65D-BB57-4DF3-AE4B-68D498FACBB6}"/>
    <hyperlink ref="B28" location="Indicator_25!A1" display="Indicator_25!A1" xr:uid="{B6B5A287-F788-474C-BBB3-097DD0067A23}"/>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F4B72-4F7E-4FAA-A4D8-A5944579E96B}">
  <sheetPr codeName="Sheet11"/>
  <dimension ref="A1:M12"/>
  <sheetViews>
    <sheetView showGridLines="0" zoomScaleNormal="100" workbookViewId="0">
      <selection activeCell="B8" sqref="B8:G11"/>
    </sheetView>
  </sheetViews>
  <sheetFormatPr defaultRowHeight="14.5" x14ac:dyDescent="0.35"/>
  <cols>
    <col min="1" max="1" width="11.26953125" customWidth="1"/>
    <col min="2" max="7" width="10.90625" bestFit="1" customWidth="1"/>
  </cols>
  <sheetData>
    <row r="1" spans="1:13" s="82" customFormat="1" ht="21" x14ac:dyDescent="0.5">
      <c r="A1" s="82" t="s">
        <v>97</v>
      </c>
    </row>
    <row r="3" spans="1:13" x14ac:dyDescent="0.35">
      <c r="A3" s="3" t="s">
        <v>4</v>
      </c>
      <c r="B3" s="84" t="s">
        <v>90</v>
      </c>
      <c r="C3" s="84"/>
      <c r="D3" s="84"/>
      <c r="E3" s="84"/>
      <c r="F3" s="84"/>
      <c r="G3" s="84"/>
      <c r="H3" s="84"/>
      <c r="I3" s="84"/>
      <c r="J3" s="84"/>
      <c r="K3" s="84"/>
      <c r="L3" s="84"/>
      <c r="M3" s="84"/>
    </row>
    <row r="4" spans="1:13" ht="26.5" customHeight="1" x14ac:dyDescent="0.35">
      <c r="A4" s="14" t="s">
        <v>12</v>
      </c>
      <c r="B4" s="83" t="s">
        <v>70</v>
      </c>
      <c r="C4" s="83"/>
      <c r="D4" s="83"/>
      <c r="E4" s="83"/>
      <c r="F4" s="83"/>
      <c r="G4" s="83"/>
      <c r="H4" s="83"/>
      <c r="I4" s="83"/>
      <c r="J4" s="83"/>
      <c r="K4" s="83"/>
      <c r="L4" s="83"/>
      <c r="M4" s="83"/>
    </row>
    <row r="5" spans="1:13" x14ac:dyDescent="0.35">
      <c r="A5" s="3" t="s">
        <v>13</v>
      </c>
      <c r="B5" s="84" t="s">
        <v>14</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21">
        <v>11.1</v>
      </c>
      <c r="C9" s="21">
        <v>9.9</v>
      </c>
      <c r="D9" s="21">
        <v>19.600000000000001</v>
      </c>
      <c r="E9" s="21">
        <v>13.4</v>
      </c>
      <c r="F9" s="86"/>
      <c r="G9" s="87"/>
    </row>
    <row r="10" spans="1:13" x14ac:dyDescent="0.35">
      <c r="A10" s="13" t="s">
        <v>16</v>
      </c>
      <c r="B10" s="23">
        <v>6.8</v>
      </c>
      <c r="C10" s="23">
        <v>7.7</v>
      </c>
      <c r="D10" s="23">
        <v>20.6</v>
      </c>
      <c r="E10" s="23">
        <v>9.3000000000000007</v>
      </c>
      <c r="F10" s="90"/>
      <c r="G10" s="91"/>
    </row>
    <row r="11" spans="1:13" ht="15" thickBot="1" x14ac:dyDescent="0.4">
      <c r="A11" s="2" t="s">
        <v>21</v>
      </c>
      <c r="B11" s="12">
        <v>15.6</v>
      </c>
      <c r="C11" s="12">
        <v>12.2</v>
      </c>
      <c r="D11" s="12">
        <v>18.600000000000001</v>
      </c>
      <c r="E11" s="12">
        <v>17.7</v>
      </c>
      <c r="F11" s="92"/>
      <c r="G11" s="93"/>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44122-5959-4911-AB39-D303C494926A}">
  <sheetPr codeName="Sheet12"/>
  <dimension ref="A1:M13"/>
  <sheetViews>
    <sheetView showGridLines="0" zoomScaleNormal="100" workbookViewId="0">
      <selection activeCell="A8" sqref="A8"/>
    </sheetView>
  </sheetViews>
  <sheetFormatPr defaultRowHeight="14.5" x14ac:dyDescent="0.35"/>
  <cols>
    <col min="1" max="1" width="13.1796875" customWidth="1"/>
    <col min="2" max="7" width="10.90625" bestFit="1" customWidth="1"/>
  </cols>
  <sheetData>
    <row r="1" spans="1:13" s="82" customFormat="1" ht="21" x14ac:dyDescent="0.5">
      <c r="A1" s="82" t="s">
        <v>56</v>
      </c>
    </row>
    <row r="3" spans="1:13" x14ac:dyDescent="0.35">
      <c r="A3" s="3" t="s">
        <v>4</v>
      </c>
      <c r="B3" s="83" t="s">
        <v>45</v>
      </c>
      <c r="C3" s="83"/>
      <c r="D3" s="83"/>
      <c r="E3" s="83"/>
      <c r="F3" s="83"/>
      <c r="G3" s="83"/>
      <c r="H3" s="83"/>
      <c r="I3" s="83"/>
      <c r="J3" s="83"/>
      <c r="K3" s="83"/>
      <c r="L3" s="83"/>
      <c r="M3" s="83"/>
    </row>
    <row r="4" spans="1:13" ht="27.5" customHeight="1" x14ac:dyDescent="0.35">
      <c r="A4" s="14" t="s">
        <v>12</v>
      </c>
      <c r="B4" s="83" t="s">
        <v>75</v>
      </c>
      <c r="C4" s="83"/>
      <c r="D4" s="83"/>
      <c r="E4" s="83"/>
      <c r="F4" s="83"/>
      <c r="G4" s="83"/>
      <c r="H4" s="83"/>
      <c r="I4" s="83"/>
      <c r="J4" s="83"/>
      <c r="K4" s="83"/>
      <c r="L4" s="83"/>
      <c r="M4" s="83"/>
    </row>
    <row r="5" spans="1:13" x14ac:dyDescent="0.35">
      <c r="A5" s="3" t="s">
        <v>13</v>
      </c>
      <c r="B5" s="83" t="s">
        <v>14</v>
      </c>
      <c r="C5" s="83"/>
      <c r="D5" s="83"/>
      <c r="E5" s="83"/>
      <c r="F5" s="83"/>
      <c r="G5" s="83"/>
      <c r="H5" s="83"/>
      <c r="I5" s="83"/>
      <c r="J5" s="83"/>
      <c r="K5" s="83"/>
      <c r="L5" s="83"/>
      <c r="M5" s="83"/>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40" t="s">
        <v>98</v>
      </c>
      <c r="B9" s="41">
        <v>1337</v>
      </c>
      <c r="C9" s="41">
        <v>3308</v>
      </c>
      <c r="D9" s="41">
        <v>1940</v>
      </c>
      <c r="E9" s="41">
        <v>1773</v>
      </c>
      <c r="F9" s="41">
        <v>2005</v>
      </c>
      <c r="G9" s="42">
        <v>1835</v>
      </c>
    </row>
    <row r="10" spans="1:13" x14ac:dyDescent="0.35">
      <c r="A10" s="13" t="s">
        <v>99</v>
      </c>
      <c r="B10" s="28">
        <v>267</v>
      </c>
      <c r="C10" s="28">
        <v>489</v>
      </c>
      <c r="D10" s="28">
        <v>531</v>
      </c>
      <c r="E10" s="28">
        <v>557</v>
      </c>
      <c r="F10" s="28">
        <v>342</v>
      </c>
      <c r="G10" s="29">
        <v>330</v>
      </c>
    </row>
    <row r="11" spans="1:13" ht="15" thickBot="1" x14ac:dyDescent="0.4">
      <c r="A11" s="2" t="s">
        <v>19</v>
      </c>
      <c r="B11" s="6">
        <v>1070</v>
      </c>
      <c r="C11" s="6">
        <v>2819</v>
      </c>
      <c r="D11" s="6">
        <v>1409</v>
      </c>
      <c r="E11" s="6">
        <v>1216</v>
      </c>
      <c r="F11" s="6">
        <v>1663</v>
      </c>
      <c r="G11" s="7">
        <v>1505</v>
      </c>
    </row>
    <row r="12" spans="1:13" ht="15" thickTop="1" x14ac:dyDescent="0.35"/>
    <row r="13" spans="1:13" x14ac:dyDescent="0.35">
      <c r="A13" s="3"/>
    </row>
  </sheetData>
  <mergeCells count="4">
    <mergeCell ref="A1:XFD1"/>
    <mergeCell ref="B4:M4"/>
    <mergeCell ref="B3:M3"/>
    <mergeCell ref="B5:M5"/>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B772E-6D9D-4796-867D-91F8A758DEAE}">
  <sheetPr codeName="Sheet13"/>
  <dimension ref="A1:M12"/>
  <sheetViews>
    <sheetView showGridLines="0" zoomScaleNormal="100" workbookViewId="0">
      <selection activeCell="A9" sqref="A9:A11"/>
    </sheetView>
  </sheetViews>
  <sheetFormatPr defaultRowHeight="14.5" x14ac:dyDescent="0.35"/>
  <cols>
    <col min="1" max="1" width="13" customWidth="1"/>
    <col min="2" max="7" width="10.90625" bestFit="1" customWidth="1"/>
  </cols>
  <sheetData>
    <row r="1" spans="1:13" s="82" customFormat="1" ht="21" x14ac:dyDescent="0.5">
      <c r="A1" s="82" t="s">
        <v>71</v>
      </c>
    </row>
    <row r="3" spans="1:13" x14ac:dyDescent="0.35">
      <c r="A3" s="3" t="s">
        <v>23</v>
      </c>
      <c r="B3" s="84" t="s">
        <v>91</v>
      </c>
      <c r="C3" s="84"/>
      <c r="D3" s="84"/>
      <c r="E3" s="84"/>
      <c r="F3" s="84"/>
      <c r="G3" s="84"/>
      <c r="H3" s="84"/>
      <c r="I3" s="84"/>
      <c r="J3" s="84"/>
      <c r="K3" s="84"/>
      <c r="L3" s="84"/>
      <c r="M3" s="84"/>
    </row>
    <row r="4" spans="1:13" ht="27.5" customHeight="1" x14ac:dyDescent="0.35">
      <c r="A4" s="14" t="s">
        <v>12</v>
      </c>
      <c r="B4" s="83" t="s">
        <v>74</v>
      </c>
      <c r="C4" s="83"/>
      <c r="D4" s="83"/>
      <c r="E4" s="83"/>
      <c r="F4" s="83"/>
      <c r="G4" s="83"/>
      <c r="H4" s="83"/>
      <c r="I4" s="83"/>
      <c r="J4" s="83"/>
      <c r="K4" s="83"/>
      <c r="L4" s="83"/>
      <c r="M4" s="83"/>
    </row>
    <row r="5" spans="1:13" x14ac:dyDescent="0.35">
      <c r="A5" s="3" t="s">
        <v>13</v>
      </c>
      <c r="B5" s="84" t="s">
        <v>20</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40" t="s">
        <v>98</v>
      </c>
      <c r="B9" s="43">
        <f>(3.10605180624927) / 100</f>
        <v>3.1060518062492701E-2</v>
      </c>
      <c r="C9" s="43">
        <f>(8.07696064068757) / 100</f>
        <v>8.0769606406875707E-2</v>
      </c>
      <c r="D9" s="43">
        <v>4.9000000000000002E-2</v>
      </c>
      <c r="E9" s="43">
        <v>4.5999999999999999E-2</v>
      </c>
      <c r="F9" s="43">
        <v>5.0999999999999997E-2</v>
      </c>
      <c r="G9" s="44">
        <v>4.5809721147365007E-2</v>
      </c>
    </row>
    <row r="10" spans="1:13" x14ac:dyDescent="0.35">
      <c r="A10" s="13" t="s">
        <v>99</v>
      </c>
      <c r="B10" s="36">
        <f>(0.620281101173191) / 100</f>
        <v>6.2028110117319105E-3</v>
      </c>
      <c r="C10" s="36">
        <f>(1.19396425432171) / 100</f>
        <v>1.19396425432171E-2</v>
      </c>
      <c r="D10" s="36">
        <v>1.3501830756712801E-2</v>
      </c>
      <c r="E10" s="36">
        <v>1.4999999999999999E-2</v>
      </c>
      <c r="F10" s="36">
        <v>8.9999999999999993E-3</v>
      </c>
      <c r="G10" s="37">
        <v>8.2382604788176841E-3</v>
      </c>
    </row>
    <row r="11" spans="1:13" ht="15" thickBot="1" x14ac:dyDescent="0.4">
      <c r="A11" s="2" t="s">
        <v>103</v>
      </c>
      <c r="B11" s="38">
        <f>(2.48577070507608) / 100</f>
        <v>2.4857707050760798E-2</v>
      </c>
      <c r="C11" s="38">
        <f>(6.88299638636586) / 100</f>
        <v>6.8829963863658597E-2</v>
      </c>
      <c r="D11" s="38">
        <v>3.5826891781936501E-2</v>
      </c>
      <c r="E11" s="38">
        <v>3.2000000000000001E-2</v>
      </c>
      <c r="F11" s="38">
        <v>4.2000000000000003E-2</v>
      </c>
      <c r="G11" s="39">
        <v>3.7571460668547323E-2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B1B25-839D-4F1A-80FA-B976C0C6982C}">
  <sheetPr codeName="Sheet14"/>
  <dimension ref="A1:M12"/>
  <sheetViews>
    <sheetView showGridLines="0" zoomScaleNormal="100" workbookViewId="0">
      <selection activeCell="A9" sqref="A9:A11"/>
    </sheetView>
  </sheetViews>
  <sheetFormatPr defaultRowHeight="14.5" x14ac:dyDescent="0.35"/>
  <cols>
    <col min="1" max="1" width="13" customWidth="1"/>
    <col min="2" max="7" width="10.90625" bestFit="1" customWidth="1"/>
  </cols>
  <sheetData>
    <row r="1" spans="1:13" s="82" customFormat="1" ht="21" x14ac:dyDescent="0.5">
      <c r="A1" s="82" t="s">
        <v>72</v>
      </c>
    </row>
    <row r="3" spans="1:13" x14ac:dyDescent="0.35">
      <c r="A3" s="3" t="s">
        <v>4</v>
      </c>
      <c r="B3" s="84" t="s">
        <v>91</v>
      </c>
      <c r="C3" s="84"/>
      <c r="D3" s="84"/>
      <c r="E3" s="84"/>
      <c r="F3" s="84"/>
      <c r="G3" s="84"/>
      <c r="H3" s="84"/>
      <c r="I3" s="84"/>
      <c r="J3" s="84"/>
      <c r="K3" s="84"/>
      <c r="L3" s="84"/>
      <c r="M3" s="84"/>
    </row>
    <row r="4" spans="1:13" ht="26.5" customHeight="1" x14ac:dyDescent="0.35">
      <c r="A4" s="14" t="s">
        <v>12</v>
      </c>
      <c r="B4" s="83" t="s">
        <v>73</v>
      </c>
      <c r="C4" s="83"/>
      <c r="D4" s="83"/>
      <c r="E4" s="83"/>
      <c r="F4" s="83"/>
      <c r="G4" s="83"/>
      <c r="H4" s="83"/>
      <c r="I4" s="83"/>
      <c r="J4" s="83"/>
      <c r="K4" s="83"/>
      <c r="L4" s="83"/>
      <c r="M4" s="83"/>
    </row>
    <row r="5" spans="1:13" x14ac:dyDescent="0.35">
      <c r="A5" s="3" t="s">
        <v>13</v>
      </c>
      <c r="B5" s="84" t="s">
        <v>14</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40" t="s">
        <v>98</v>
      </c>
      <c r="B9" s="45">
        <v>417.21405858471758</v>
      </c>
      <c r="C9" s="45">
        <v>1063.501453151925</v>
      </c>
      <c r="D9" s="45">
        <v>644.3962439006566</v>
      </c>
      <c r="E9" s="45">
        <v>604.70000000000005</v>
      </c>
      <c r="F9" s="86"/>
      <c r="G9" s="87"/>
    </row>
    <row r="10" spans="1:13" x14ac:dyDescent="0.35">
      <c r="A10" s="13" t="s">
        <v>99</v>
      </c>
      <c r="B10" s="23">
        <v>200.6</v>
      </c>
      <c r="C10" s="23">
        <v>157.21046269386076</v>
      </c>
      <c r="D10" s="23">
        <v>176.37855954188078</v>
      </c>
      <c r="E10" s="23">
        <v>291.8</v>
      </c>
      <c r="F10" s="90"/>
      <c r="G10" s="91"/>
    </row>
    <row r="11" spans="1:13" ht="15" thickBot="1" x14ac:dyDescent="0.4">
      <c r="A11" s="2" t="s">
        <v>103</v>
      </c>
      <c r="B11" s="12">
        <v>690.22016087935344</v>
      </c>
      <c r="C11" s="12">
        <v>1887.4872783759174</v>
      </c>
      <c r="D11" s="12">
        <v>998.25712382922654</v>
      </c>
      <c r="E11" s="12">
        <v>904.6</v>
      </c>
      <c r="F11" s="92"/>
      <c r="G11" s="93"/>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EA70A-87DC-443F-9368-04AA48AD116F}">
  <sheetPr codeName="Sheet15"/>
  <dimension ref="A1:M18"/>
  <sheetViews>
    <sheetView showGridLines="0" zoomScaleNormal="100" workbookViewId="0">
      <selection activeCell="B8" sqref="B8:G17"/>
    </sheetView>
  </sheetViews>
  <sheetFormatPr defaultRowHeight="14.5" x14ac:dyDescent="0.35"/>
  <cols>
    <col min="1" max="1" width="21" customWidth="1"/>
    <col min="2" max="7" width="10.90625" bestFit="1" customWidth="1"/>
  </cols>
  <sheetData>
    <row r="1" spans="1:13" s="82" customFormat="1" ht="21" x14ac:dyDescent="0.5">
      <c r="A1" s="82" t="s">
        <v>47</v>
      </c>
    </row>
    <row r="3" spans="1:13" x14ac:dyDescent="0.35">
      <c r="A3" s="3" t="s">
        <v>4</v>
      </c>
      <c r="B3" s="84" t="s">
        <v>24</v>
      </c>
      <c r="C3" s="84"/>
      <c r="D3" s="84"/>
      <c r="E3" s="84"/>
      <c r="F3" s="84"/>
      <c r="G3" s="84"/>
      <c r="H3" s="84"/>
      <c r="I3" s="84"/>
      <c r="J3" s="84"/>
      <c r="K3" s="84"/>
      <c r="L3" s="84"/>
      <c r="M3" s="84"/>
    </row>
    <row r="4" spans="1:13" ht="25.5" customHeight="1" x14ac:dyDescent="0.35">
      <c r="A4" s="14" t="s">
        <v>12</v>
      </c>
      <c r="B4" s="83" t="s">
        <v>46</v>
      </c>
      <c r="C4" s="83"/>
      <c r="D4" s="83"/>
      <c r="E4" s="83"/>
      <c r="F4" s="83"/>
      <c r="G4" s="83"/>
      <c r="H4" s="83"/>
      <c r="I4" s="83"/>
      <c r="J4" s="83"/>
      <c r="K4" s="83"/>
      <c r="L4" s="83"/>
      <c r="M4" s="83"/>
    </row>
    <row r="5" spans="1:13" x14ac:dyDescent="0.35">
      <c r="A5" s="3" t="s">
        <v>13</v>
      </c>
      <c r="B5" s="84" t="s">
        <v>14</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65">
        <v>23</v>
      </c>
      <c r="C9" s="65">
        <v>21</v>
      </c>
      <c r="D9" s="65">
        <v>19</v>
      </c>
      <c r="E9" s="65">
        <v>16</v>
      </c>
      <c r="F9" s="65">
        <v>20</v>
      </c>
      <c r="G9" s="66">
        <v>27</v>
      </c>
    </row>
    <row r="10" spans="1:13" x14ac:dyDescent="0.35">
      <c r="A10" s="1" t="s">
        <v>16</v>
      </c>
      <c r="B10" s="63">
        <v>23</v>
      </c>
      <c r="C10" s="63">
        <v>21</v>
      </c>
      <c r="D10" s="63">
        <v>19</v>
      </c>
      <c r="E10" s="63">
        <v>16</v>
      </c>
      <c r="F10" s="63">
        <v>20</v>
      </c>
      <c r="G10" s="64">
        <v>27</v>
      </c>
    </row>
    <row r="11" spans="1:13" x14ac:dyDescent="0.35">
      <c r="A11" s="1" t="s">
        <v>21</v>
      </c>
      <c r="B11" s="63">
        <v>0</v>
      </c>
      <c r="C11" s="63">
        <v>0</v>
      </c>
      <c r="D11" s="63">
        <v>0</v>
      </c>
      <c r="E11" s="63">
        <v>0</v>
      </c>
      <c r="F11" s="63">
        <v>0</v>
      </c>
      <c r="G11" s="64">
        <v>0</v>
      </c>
    </row>
    <row r="12" spans="1:13" x14ac:dyDescent="0.35">
      <c r="A12" s="20" t="s">
        <v>48</v>
      </c>
      <c r="B12" s="67">
        <v>4</v>
      </c>
      <c r="C12" s="67">
        <v>1</v>
      </c>
      <c r="D12" s="67">
        <v>1</v>
      </c>
      <c r="E12" s="67">
        <v>4</v>
      </c>
      <c r="F12" s="67">
        <v>2</v>
      </c>
      <c r="G12" s="68">
        <v>6</v>
      </c>
    </row>
    <row r="13" spans="1:13" x14ac:dyDescent="0.35">
      <c r="A13" s="1" t="s">
        <v>16</v>
      </c>
      <c r="B13" s="63">
        <v>4</v>
      </c>
      <c r="C13" s="63">
        <v>1</v>
      </c>
      <c r="D13" s="63">
        <v>1</v>
      </c>
      <c r="E13" s="63">
        <v>4</v>
      </c>
      <c r="F13" s="63">
        <v>2</v>
      </c>
      <c r="G13" s="64">
        <v>6</v>
      </c>
    </row>
    <row r="14" spans="1:13" x14ac:dyDescent="0.35">
      <c r="A14" s="1" t="s">
        <v>21</v>
      </c>
      <c r="B14" s="63">
        <v>0</v>
      </c>
      <c r="C14" s="63">
        <v>0</v>
      </c>
      <c r="D14" s="63">
        <v>0</v>
      </c>
      <c r="E14" s="63">
        <v>0</v>
      </c>
      <c r="F14" s="63">
        <v>0</v>
      </c>
      <c r="G14" s="64">
        <v>0</v>
      </c>
    </row>
    <row r="15" spans="1:13" x14ac:dyDescent="0.35">
      <c r="A15" s="20" t="s">
        <v>53</v>
      </c>
      <c r="B15" s="67">
        <v>19</v>
      </c>
      <c r="C15" s="67">
        <v>20</v>
      </c>
      <c r="D15" s="67">
        <v>18</v>
      </c>
      <c r="E15" s="67">
        <v>12</v>
      </c>
      <c r="F15" s="67">
        <v>18</v>
      </c>
      <c r="G15" s="68">
        <v>21</v>
      </c>
    </row>
    <row r="16" spans="1:13" x14ac:dyDescent="0.35">
      <c r="A16" s="13" t="s">
        <v>16</v>
      </c>
      <c r="B16" s="69">
        <v>19</v>
      </c>
      <c r="C16" s="69">
        <v>20</v>
      </c>
      <c r="D16" s="69">
        <v>18</v>
      </c>
      <c r="E16" s="69">
        <v>12</v>
      </c>
      <c r="F16" s="69">
        <v>18</v>
      </c>
      <c r="G16" s="70">
        <v>21</v>
      </c>
    </row>
    <row r="17" spans="1:7" ht="15" thickBot="1" x14ac:dyDescent="0.4">
      <c r="A17" s="2" t="s">
        <v>21</v>
      </c>
      <c r="B17" s="71">
        <v>0</v>
      </c>
      <c r="C17" s="71">
        <v>0</v>
      </c>
      <c r="D17" s="71">
        <v>0</v>
      </c>
      <c r="E17" s="71">
        <v>0</v>
      </c>
      <c r="F17" s="71">
        <v>0</v>
      </c>
      <c r="G17" s="72">
        <v>0</v>
      </c>
    </row>
    <row r="18" spans="1:7"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C7653-2A7B-4EF0-A85A-8A228341CBF5}">
  <sheetPr codeName="Sheet16"/>
  <dimension ref="A1:M18"/>
  <sheetViews>
    <sheetView showGridLines="0" zoomScaleNormal="100" workbookViewId="0">
      <selection activeCell="B8" sqref="B8:G17"/>
    </sheetView>
  </sheetViews>
  <sheetFormatPr defaultRowHeight="14.5" x14ac:dyDescent="0.35"/>
  <cols>
    <col min="1" max="1" width="24.90625" customWidth="1"/>
    <col min="2" max="7" width="10.90625" bestFit="1" customWidth="1"/>
  </cols>
  <sheetData>
    <row r="1" spans="1:13" s="82" customFormat="1" ht="21" x14ac:dyDescent="0.5">
      <c r="A1" s="82" t="s">
        <v>49</v>
      </c>
    </row>
    <row r="3" spans="1:13" ht="11.5" customHeight="1" x14ac:dyDescent="0.35">
      <c r="A3" s="3" t="s">
        <v>4</v>
      </c>
      <c r="B3" s="84" t="s">
        <v>25</v>
      </c>
      <c r="C3" s="84"/>
      <c r="D3" s="84"/>
      <c r="E3" s="84"/>
      <c r="F3" s="84"/>
      <c r="G3" s="84"/>
      <c r="H3" s="84"/>
      <c r="I3" s="84"/>
      <c r="J3" s="84"/>
      <c r="K3" s="84"/>
      <c r="L3" s="84"/>
      <c r="M3" s="84"/>
    </row>
    <row r="4" spans="1:13" ht="26" customHeight="1" x14ac:dyDescent="0.35">
      <c r="A4" s="14" t="s">
        <v>12</v>
      </c>
      <c r="B4" s="83" t="s">
        <v>51</v>
      </c>
      <c r="C4" s="83"/>
      <c r="D4" s="83"/>
      <c r="E4" s="83"/>
      <c r="F4" s="83"/>
      <c r="G4" s="83"/>
      <c r="H4" s="83"/>
      <c r="I4" s="83"/>
      <c r="J4" s="83"/>
      <c r="K4" s="83"/>
      <c r="L4" s="83"/>
      <c r="M4" s="83"/>
    </row>
    <row r="5" spans="1:13" x14ac:dyDescent="0.35">
      <c r="A5" s="3" t="s">
        <v>13</v>
      </c>
      <c r="B5" s="84" t="s">
        <v>20</v>
      </c>
      <c r="C5" s="84"/>
      <c r="D5" s="84"/>
      <c r="E5" s="84"/>
      <c r="F5" s="84"/>
      <c r="G5" s="84"/>
      <c r="H5" s="84"/>
      <c r="I5" s="84"/>
      <c r="J5" s="84"/>
      <c r="K5" s="84"/>
      <c r="L5" s="84"/>
      <c r="M5" s="84"/>
    </row>
    <row r="7" spans="1:13" ht="15" thickBot="1" x14ac:dyDescent="0.4"/>
    <row r="8" spans="1:13" ht="19.5" thickTop="1" thickBot="1" x14ac:dyDescent="0.5">
      <c r="A8" s="17"/>
      <c r="B8" s="97">
        <v>2019</v>
      </c>
      <c r="C8" s="97">
        <v>2020</v>
      </c>
      <c r="D8" s="97">
        <v>2021</v>
      </c>
      <c r="E8" s="97">
        <v>2022</v>
      </c>
      <c r="F8" s="97">
        <v>2023</v>
      </c>
      <c r="G8" s="98">
        <v>2024</v>
      </c>
    </row>
    <row r="9" spans="1:13" ht="15" thickTop="1" x14ac:dyDescent="0.35">
      <c r="A9" s="19" t="s">
        <v>0</v>
      </c>
      <c r="B9" s="99">
        <f>(0.45589692765114) / 100</f>
        <v>4.5589692765114001E-3</v>
      </c>
      <c r="C9" s="99">
        <f>(0.455136540962289) / 100</f>
        <v>4.5513654096228902E-3</v>
      </c>
      <c r="D9" s="99">
        <v>3.8337368845843402E-3</v>
      </c>
      <c r="E9" s="99">
        <v>3.0000000000000001E-3</v>
      </c>
      <c r="F9" s="99">
        <v>4.0000000000000001E-3</v>
      </c>
      <c r="G9" s="100">
        <v>6.0120240480961923E-3</v>
      </c>
    </row>
    <row r="10" spans="1:13" x14ac:dyDescent="0.35">
      <c r="A10" s="1" t="s">
        <v>16</v>
      </c>
      <c r="B10" s="32">
        <f>(0.463803186126235) / 100</f>
        <v>4.6380318612623504E-3</v>
      </c>
      <c r="C10" s="32">
        <f>(0.460829493087558) / 100</f>
        <v>4.6082949308755804E-3</v>
      </c>
      <c r="D10" s="32">
        <v>3.8337368845843402E-3</v>
      </c>
      <c r="E10" s="32">
        <v>3.0000000000000001E-3</v>
      </c>
      <c r="F10" s="32">
        <v>4.0000000000000001E-3</v>
      </c>
      <c r="G10" s="101">
        <v>6.0120240480961923E-3</v>
      </c>
    </row>
    <row r="11" spans="1:13" x14ac:dyDescent="0.35">
      <c r="A11" s="1" t="s">
        <v>21</v>
      </c>
      <c r="B11" s="32">
        <f>(0) / 100</f>
        <v>0</v>
      </c>
      <c r="C11" s="32">
        <f>(0) / 100</f>
        <v>0</v>
      </c>
      <c r="D11" s="32">
        <v>0</v>
      </c>
      <c r="E11" s="32">
        <v>0</v>
      </c>
      <c r="F11" s="32">
        <v>0</v>
      </c>
      <c r="G11" s="101">
        <v>0</v>
      </c>
    </row>
    <row r="12" spans="1:13" x14ac:dyDescent="0.35">
      <c r="A12" s="20" t="s">
        <v>48</v>
      </c>
      <c r="B12" s="34">
        <f>(0.143833153541891) / 100</f>
        <v>1.4383315354189099E-3</v>
      </c>
      <c r="C12" s="34">
        <f>(0.0436871996505024) / 100</f>
        <v>4.3687199650502398E-4</v>
      </c>
      <c r="D12" s="34">
        <v>4.6232085067036499E-4</v>
      </c>
      <c r="E12" s="34">
        <v>2E-3</v>
      </c>
      <c r="F12" s="34">
        <v>1E-3</v>
      </c>
      <c r="G12" s="102">
        <v>3.5026269702276708E-3</v>
      </c>
    </row>
    <row r="13" spans="1:13" x14ac:dyDescent="0.35">
      <c r="A13" s="1" t="s">
        <v>16</v>
      </c>
      <c r="B13" s="32">
        <f>(0.146735143066764) / 100</f>
        <v>1.46735143066764E-3</v>
      </c>
      <c r="C13" s="32">
        <f>(0.04) / 100</f>
        <v>4.0000000000000002E-4</v>
      </c>
      <c r="D13" s="32">
        <v>4.6232085067036499E-4</v>
      </c>
      <c r="E13" s="32">
        <v>2E-3</v>
      </c>
      <c r="F13" s="32">
        <v>1E-3</v>
      </c>
      <c r="G13" s="101">
        <v>3.5026269702276708E-3</v>
      </c>
    </row>
    <row r="14" spans="1:13" x14ac:dyDescent="0.35">
      <c r="A14" s="1" t="s">
        <v>21</v>
      </c>
      <c r="B14" s="32">
        <f>(0) / 100</f>
        <v>0</v>
      </c>
      <c r="C14" s="32">
        <f>(0) / 100</f>
        <v>0</v>
      </c>
      <c r="D14" s="32">
        <v>0</v>
      </c>
      <c r="E14" s="32">
        <v>0</v>
      </c>
      <c r="F14" s="32">
        <v>0</v>
      </c>
      <c r="G14" s="101">
        <v>0</v>
      </c>
    </row>
    <row r="15" spans="1:13" x14ac:dyDescent="0.35">
      <c r="A15" s="20" t="s">
        <v>54</v>
      </c>
      <c r="B15" s="34">
        <f>(0.839222614840989) / 100</f>
        <v>8.3922261484098912E-3</v>
      </c>
      <c r="C15" s="34">
        <f>(0.860215053763441) / 100</f>
        <v>8.6021505376344103E-3</v>
      </c>
      <c r="D15" s="34">
        <v>6.44468313641246E-3</v>
      </c>
      <c r="E15" s="34">
        <v>4.0000000000000001E-3</v>
      </c>
      <c r="F15" s="34">
        <v>6.0000000000000001E-3</v>
      </c>
      <c r="G15" s="102">
        <v>7.5593952483801298E-3</v>
      </c>
    </row>
    <row r="16" spans="1:13" x14ac:dyDescent="0.35">
      <c r="A16" s="13" t="s">
        <v>16</v>
      </c>
      <c r="B16" s="36">
        <f>(0.850873264666368) / 100</f>
        <v>8.5087326466636807E-3</v>
      </c>
      <c r="C16" s="36">
        <f>(0.871080139372822) / 100</f>
        <v>8.7108013937282208E-3</v>
      </c>
      <c r="D16" s="36">
        <v>6.44468313641246E-3</v>
      </c>
      <c r="E16" s="36">
        <v>4.0000000000000001E-3</v>
      </c>
      <c r="F16" s="36">
        <v>6.0000000000000001E-3</v>
      </c>
      <c r="G16" s="103">
        <v>7.5593952483801298E-3</v>
      </c>
    </row>
    <row r="17" spans="1:7" ht="15" thickBot="1" x14ac:dyDescent="0.4">
      <c r="A17" s="2" t="s">
        <v>21</v>
      </c>
      <c r="B17" s="104">
        <f>(0) / 100</f>
        <v>0</v>
      </c>
      <c r="C17" s="104">
        <f>(0) / 100</f>
        <v>0</v>
      </c>
      <c r="D17" s="104">
        <v>0</v>
      </c>
      <c r="E17" s="104">
        <v>0</v>
      </c>
      <c r="F17" s="104">
        <v>0</v>
      </c>
      <c r="G17" s="105">
        <v>0</v>
      </c>
    </row>
    <row r="18" spans="1:7"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B2FE9-40F8-42CA-92F0-4EBD8669A697}">
  <sheetPr codeName="Sheet17"/>
  <dimension ref="A1:M18"/>
  <sheetViews>
    <sheetView showGridLines="0" zoomScaleNormal="100" workbookViewId="0">
      <selection activeCell="B8" sqref="B8:G17"/>
    </sheetView>
  </sheetViews>
  <sheetFormatPr defaultRowHeight="14.5" x14ac:dyDescent="0.35"/>
  <cols>
    <col min="1" max="1" width="25.81640625" customWidth="1"/>
    <col min="2" max="7" width="10.90625" bestFit="1" customWidth="1"/>
  </cols>
  <sheetData>
    <row r="1" spans="1:13" s="82" customFormat="1" ht="21" x14ac:dyDescent="0.5">
      <c r="A1" s="82" t="s">
        <v>50</v>
      </c>
    </row>
    <row r="3" spans="1:13" x14ac:dyDescent="0.35">
      <c r="A3" s="3" t="s">
        <v>4</v>
      </c>
      <c r="B3" s="84" t="s">
        <v>25</v>
      </c>
      <c r="C3" s="84"/>
      <c r="D3" s="84"/>
      <c r="E3" s="84"/>
      <c r="F3" s="84"/>
      <c r="G3" s="84"/>
      <c r="H3" s="84"/>
      <c r="I3" s="84"/>
      <c r="J3" s="84"/>
      <c r="K3" s="84"/>
      <c r="L3" s="84"/>
      <c r="M3" s="84"/>
    </row>
    <row r="4" spans="1:13" ht="28" customHeight="1" x14ac:dyDescent="0.35">
      <c r="A4" s="14" t="s">
        <v>12</v>
      </c>
      <c r="B4" s="83" t="s">
        <v>76</v>
      </c>
      <c r="C4" s="83"/>
      <c r="D4" s="83"/>
      <c r="E4" s="83"/>
      <c r="F4" s="83"/>
      <c r="G4" s="83"/>
      <c r="H4" s="83"/>
      <c r="I4" s="83"/>
      <c r="J4" s="83"/>
      <c r="K4" s="83"/>
      <c r="L4" s="83"/>
      <c r="M4" s="83"/>
    </row>
    <row r="5" spans="1:13" x14ac:dyDescent="0.35">
      <c r="A5" s="3" t="s">
        <v>13</v>
      </c>
      <c r="B5" s="84" t="s">
        <v>14</v>
      </c>
      <c r="C5" s="84"/>
      <c r="D5" s="84"/>
      <c r="E5" s="84"/>
      <c r="F5" s="84"/>
      <c r="G5" s="84"/>
      <c r="H5" s="84"/>
      <c r="I5" s="84"/>
      <c r="J5" s="84"/>
      <c r="K5" s="84"/>
      <c r="L5" s="84"/>
      <c r="M5" s="84"/>
    </row>
    <row r="6" spans="1:13" ht="14" customHeight="1" x14ac:dyDescent="0.35"/>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106">
        <v>14.934677021376068</v>
      </c>
      <c r="C9" s="106">
        <v>14.513487176297403</v>
      </c>
      <c r="D9" s="106">
        <v>13.807336782745191</v>
      </c>
      <c r="E9" s="106">
        <v>11.9</v>
      </c>
      <c r="F9" s="107"/>
      <c r="G9" s="108"/>
    </row>
    <row r="10" spans="1:13" x14ac:dyDescent="0.35">
      <c r="A10" s="1" t="s">
        <v>16</v>
      </c>
      <c r="B10" s="109">
        <v>29.197821588615387</v>
      </c>
      <c r="C10" s="109">
        <v>28.296166543151656</v>
      </c>
      <c r="D10" s="109">
        <v>26.970630402998001</v>
      </c>
      <c r="E10" s="109">
        <v>23.3</v>
      </c>
      <c r="F10" s="110"/>
      <c r="G10" s="111"/>
    </row>
    <row r="11" spans="1:13" x14ac:dyDescent="0.35">
      <c r="A11" s="1" t="s">
        <v>21</v>
      </c>
      <c r="B11" s="63">
        <v>0</v>
      </c>
      <c r="C11" s="63">
        <v>0</v>
      </c>
      <c r="D11" s="63">
        <v>0</v>
      </c>
      <c r="E11" s="63">
        <v>0</v>
      </c>
      <c r="F11" s="112"/>
      <c r="G11" s="113"/>
    </row>
    <row r="12" spans="1:13" x14ac:dyDescent="0.35">
      <c r="A12" s="20" t="s">
        <v>48</v>
      </c>
      <c r="B12" s="114">
        <v>2.5973351341523596</v>
      </c>
      <c r="C12" s="114">
        <v>0.69111843696654296</v>
      </c>
      <c r="D12" s="114">
        <v>0.72670193593395738</v>
      </c>
      <c r="E12" s="114">
        <v>3</v>
      </c>
      <c r="F12" s="110"/>
      <c r="G12" s="111"/>
    </row>
    <row r="13" spans="1:13" x14ac:dyDescent="0.35">
      <c r="A13" s="1" t="s">
        <v>16</v>
      </c>
      <c r="B13" s="109">
        <v>5.0778820154113715</v>
      </c>
      <c r="C13" s="109">
        <v>1.3474365020548407</v>
      </c>
      <c r="D13" s="109">
        <v>1.4195068633156842</v>
      </c>
      <c r="E13" s="109">
        <v>5.8</v>
      </c>
      <c r="F13" s="110"/>
      <c r="G13" s="111"/>
    </row>
    <row r="14" spans="1:13" x14ac:dyDescent="0.35">
      <c r="A14" s="1" t="s">
        <v>21</v>
      </c>
      <c r="B14" s="63">
        <v>0</v>
      </c>
      <c r="C14" s="63">
        <v>0</v>
      </c>
      <c r="D14" s="63">
        <v>0</v>
      </c>
      <c r="E14" s="63">
        <v>0</v>
      </c>
      <c r="F14" s="112"/>
      <c r="G14" s="113"/>
    </row>
    <row r="15" spans="1:13" x14ac:dyDescent="0.35">
      <c r="A15" s="20" t="s">
        <v>53</v>
      </c>
      <c r="B15" s="114">
        <v>12.337341887223708</v>
      </c>
      <c r="C15" s="114">
        <v>13.822368739330859</v>
      </c>
      <c r="D15" s="114">
        <v>13.080634846811233</v>
      </c>
      <c r="E15" s="114">
        <v>8.9</v>
      </c>
      <c r="F15" s="110"/>
      <c r="G15" s="111"/>
    </row>
    <row r="16" spans="1:13" x14ac:dyDescent="0.35">
      <c r="A16" s="13" t="s">
        <v>16</v>
      </c>
      <c r="B16" s="115">
        <v>24.119939573204018</v>
      </c>
      <c r="C16" s="115">
        <v>26.948730041096812</v>
      </c>
      <c r="D16" s="115">
        <v>25.551123539682315</v>
      </c>
      <c r="E16" s="115">
        <v>17.5</v>
      </c>
      <c r="F16" s="116"/>
      <c r="G16" s="117"/>
    </row>
    <row r="17" spans="1:7" ht="15" thickBot="1" x14ac:dyDescent="0.4">
      <c r="A17" s="2" t="s">
        <v>21</v>
      </c>
      <c r="B17" s="71">
        <v>0</v>
      </c>
      <c r="C17" s="71">
        <v>0</v>
      </c>
      <c r="D17" s="71">
        <v>0</v>
      </c>
      <c r="E17" s="71">
        <v>0</v>
      </c>
      <c r="F17" s="118"/>
      <c r="G17" s="119"/>
    </row>
    <row r="18" spans="1:7"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5D3F4-0117-4958-BAE6-007C4F1990E3}">
  <sheetPr codeName="Sheet18"/>
  <dimension ref="A1:M12"/>
  <sheetViews>
    <sheetView showGridLines="0" zoomScaleNormal="100" workbookViewId="0">
      <selection activeCell="B8" sqref="B8:G11"/>
    </sheetView>
  </sheetViews>
  <sheetFormatPr defaultRowHeight="14.5" x14ac:dyDescent="0.35"/>
  <cols>
    <col min="1" max="1" width="11.26953125" customWidth="1"/>
    <col min="2" max="7" width="10.90625" bestFit="1" customWidth="1"/>
  </cols>
  <sheetData>
    <row r="1" spans="1:13" s="82" customFormat="1" ht="21" x14ac:dyDescent="0.5">
      <c r="A1" s="82" t="s">
        <v>49</v>
      </c>
    </row>
    <row r="3" spans="1:13" x14ac:dyDescent="0.35">
      <c r="A3" s="3" t="s">
        <v>4</v>
      </c>
      <c r="B3" s="84" t="s">
        <v>92</v>
      </c>
      <c r="C3" s="84"/>
      <c r="D3" s="84"/>
      <c r="E3" s="84"/>
      <c r="F3" s="84"/>
      <c r="G3" s="84"/>
      <c r="H3" s="84"/>
      <c r="I3" s="84"/>
      <c r="J3" s="84"/>
      <c r="K3" s="84"/>
      <c r="L3" s="84"/>
      <c r="M3" s="84"/>
    </row>
    <row r="4" spans="1:13" ht="27" customHeight="1" x14ac:dyDescent="0.35">
      <c r="A4" s="14" t="s">
        <v>12</v>
      </c>
      <c r="B4" s="83" t="s">
        <v>77</v>
      </c>
      <c r="C4" s="83"/>
      <c r="D4" s="83"/>
      <c r="E4" s="83"/>
      <c r="F4" s="83"/>
      <c r="G4" s="83"/>
      <c r="H4" s="83"/>
      <c r="I4" s="83"/>
      <c r="J4" s="83"/>
      <c r="K4" s="83"/>
      <c r="L4" s="83"/>
      <c r="M4" s="83"/>
    </row>
    <row r="5" spans="1:13" x14ac:dyDescent="0.35">
      <c r="A5" s="3" t="s">
        <v>13</v>
      </c>
      <c r="B5" s="84" t="s">
        <v>20</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30">
        <v>0.82608695652173902</v>
      </c>
      <c r="C9" s="30">
        <v>0.952380952380952</v>
      </c>
      <c r="D9" s="30">
        <v>0.94736842105263197</v>
      </c>
      <c r="E9" s="30">
        <v>0.75</v>
      </c>
      <c r="F9" s="30">
        <v>0.9</v>
      </c>
      <c r="G9" s="31">
        <v>0.95454545454545459</v>
      </c>
    </row>
    <row r="10" spans="1:13" x14ac:dyDescent="0.35">
      <c r="A10" s="13" t="s">
        <v>16</v>
      </c>
      <c r="B10" s="36">
        <v>0.82608695652173902</v>
      </c>
      <c r="C10" s="36">
        <v>0.952380952380952</v>
      </c>
      <c r="D10" s="36">
        <v>0.94736842105263197</v>
      </c>
      <c r="E10" s="36">
        <v>0.75</v>
      </c>
      <c r="F10" s="36">
        <v>0.9</v>
      </c>
      <c r="G10" s="37">
        <v>0.95454545454545459</v>
      </c>
    </row>
    <row r="11" spans="1:13" ht="15" thickBot="1" x14ac:dyDescent="0.4">
      <c r="A11" s="2" t="s">
        <v>21</v>
      </c>
      <c r="B11" s="38">
        <v>0</v>
      </c>
      <c r="C11" s="38">
        <v>0</v>
      </c>
      <c r="D11" s="38">
        <v>0</v>
      </c>
      <c r="E11" s="38">
        <v>0</v>
      </c>
      <c r="F11" s="38">
        <v>0</v>
      </c>
      <c r="G11" s="39">
        <v>0</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3CBC-CD3A-4845-9880-86D37F254C23}">
  <sheetPr codeName="Sheet19"/>
  <dimension ref="A1:M12"/>
  <sheetViews>
    <sheetView showGridLines="0" zoomScaleNormal="100" workbookViewId="0">
      <selection activeCell="B8" sqref="B8:G11"/>
    </sheetView>
  </sheetViews>
  <sheetFormatPr defaultRowHeight="14.5" x14ac:dyDescent="0.35"/>
  <cols>
    <col min="1" max="1" width="11.26953125" customWidth="1"/>
    <col min="2" max="7" width="10.90625" bestFit="1" customWidth="1"/>
  </cols>
  <sheetData>
    <row r="1" spans="1:13" s="82" customFormat="1" ht="21" x14ac:dyDescent="0.5">
      <c r="A1" s="82" t="s">
        <v>96</v>
      </c>
    </row>
    <row r="3" spans="1:13" x14ac:dyDescent="0.35">
      <c r="A3" s="3" t="s">
        <v>4</v>
      </c>
      <c r="B3" s="84" t="s">
        <v>92</v>
      </c>
      <c r="C3" s="84"/>
      <c r="D3" s="84"/>
      <c r="E3" s="84"/>
      <c r="F3" s="84"/>
      <c r="G3" s="84"/>
      <c r="H3" s="84"/>
      <c r="I3" s="84"/>
      <c r="J3" s="84"/>
      <c r="K3" s="84"/>
      <c r="L3" s="84"/>
      <c r="M3" s="84"/>
    </row>
    <row r="4" spans="1:13" ht="28" customHeight="1" x14ac:dyDescent="0.35">
      <c r="A4" s="14" t="s">
        <v>12</v>
      </c>
      <c r="B4" s="83" t="s">
        <v>78</v>
      </c>
      <c r="C4" s="83"/>
      <c r="D4" s="83"/>
      <c r="E4" s="83"/>
      <c r="F4" s="83"/>
      <c r="G4" s="83"/>
      <c r="H4" s="83"/>
      <c r="I4" s="83"/>
      <c r="J4" s="83"/>
      <c r="K4" s="83"/>
      <c r="L4" s="83"/>
      <c r="M4" s="83"/>
    </row>
    <row r="5" spans="1:13" x14ac:dyDescent="0.35">
      <c r="A5" s="3" t="s">
        <v>13</v>
      </c>
      <c r="B5" s="84" t="s">
        <v>20</v>
      </c>
      <c r="C5" s="84"/>
      <c r="D5" s="84"/>
      <c r="E5" s="84"/>
      <c r="F5" s="84"/>
      <c r="G5" s="84"/>
      <c r="H5" s="84"/>
      <c r="I5" s="84"/>
      <c r="J5" s="84"/>
      <c r="K5" s="84"/>
      <c r="L5" s="84"/>
      <c r="M5" s="84"/>
    </row>
    <row r="7" spans="1:13" ht="15" thickBot="1" x14ac:dyDescent="0.4"/>
    <row r="8" spans="1:13" ht="19.5" thickTop="1" thickBot="1" x14ac:dyDescent="0.5">
      <c r="A8" s="17"/>
      <c r="B8" s="97">
        <v>2019</v>
      </c>
      <c r="C8" s="97">
        <v>2020</v>
      </c>
      <c r="D8" s="97">
        <v>2021</v>
      </c>
      <c r="E8" s="97">
        <v>2022</v>
      </c>
      <c r="F8" s="97">
        <v>2023</v>
      </c>
      <c r="G8" s="98">
        <v>2024</v>
      </c>
    </row>
    <row r="9" spans="1:13" ht="15" thickTop="1" x14ac:dyDescent="0.35">
      <c r="A9" s="19" t="s">
        <v>0</v>
      </c>
      <c r="B9" s="99">
        <f>(53.9906103286385) / 100</f>
        <v>0.539906103286385</v>
      </c>
      <c r="C9" s="99">
        <f>(57.0749108204518) / 100</f>
        <v>0.57074910820451796</v>
      </c>
      <c r="D9" s="99">
        <v>0.60899999999999999</v>
      </c>
      <c r="E9" s="99">
        <v>0.56999999999999995</v>
      </c>
      <c r="F9" s="99">
        <v>0.59099999999999997</v>
      </c>
      <c r="G9" s="100">
        <v>0.74673202614379086</v>
      </c>
    </row>
    <row r="10" spans="1:13" x14ac:dyDescent="0.35">
      <c r="A10" s="13" t="s">
        <v>16</v>
      </c>
      <c r="B10" s="36">
        <f>(54.2011834319527) / 100</f>
        <v>0.54201183431952704</v>
      </c>
      <c r="C10" s="36">
        <f>(56.9027611044418) / 100</f>
        <v>0.56902761104441801</v>
      </c>
      <c r="D10" s="36">
        <v>0.60742971887550201</v>
      </c>
      <c r="E10" s="36">
        <v>0.56799999999999995</v>
      </c>
      <c r="F10" s="36">
        <v>0.59199999999999997</v>
      </c>
      <c r="G10" s="103">
        <v>0.74252491694352163</v>
      </c>
    </row>
    <row r="11" spans="1:13" ht="15" thickBot="1" x14ac:dyDescent="0.4">
      <c r="A11" s="2" t="s">
        <v>21</v>
      </c>
      <c r="B11" s="104">
        <f>(28.5714285714286) / 100</f>
        <v>0.28571428571428603</v>
      </c>
      <c r="C11" s="104">
        <f>(75) / 100</f>
        <v>0.75</v>
      </c>
      <c r="D11" s="104">
        <v>0.72727272727272707</v>
      </c>
      <c r="E11" s="104">
        <v>0.77800000000000002</v>
      </c>
      <c r="F11" s="104">
        <v>0.53800000000000003</v>
      </c>
      <c r="G11" s="105">
        <v>1</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701A2-93D1-48EF-B29F-4B9D30136463}">
  <sheetPr codeName="Sheet20"/>
  <dimension ref="A1:M10"/>
  <sheetViews>
    <sheetView showGridLines="0" zoomScaleNormal="100" workbookViewId="0">
      <selection activeCell="B8" sqref="B8:G9"/>
    </sheetView>
  </sheetViews>
  <sheetFormatPr defaultRowHeight="14.5" x14ac:dyDescent="0.35"/>
  <cols>
    <col min="1" max="1" width="12.36328125" customWidth="1"/>
    <col min="2" max="7" width="10.90625" bestFit="1" customWidth="1"/>
  </cols>
  <sheetData>
    <row r="1" spans="1:13" s="82" customFormat="1" ht="21" x14ac:dyDescent="0.5">
      <c r="A1" s="82" t="s">
        <v>52</v>
      </c>
    </row>
    <row r="3" spans="1:13" x14ac:dyDescent="0.35">
      <c r="A3" s="3" t="s">
        <v>4</v>
      </c>
      <c r="B3" s="84" t="s">
        <v>24</v>
      </c>
      <c r="C3" s="84"/>
      <c r="D3" s="84"/>
      <c r="E3" s="84"/>
      <c r="F3" s="84"/>
      <c r="G3" s="84"/>
      <c r="H3" s="84"/>
      <c r="I3" s="84"/>
      <c r="J3" s="84"/>
      <c r="K3" s="84"/>
      <c r="L3" s="84"/>
      <c r="M3" s="84"/>
    </row>
    <row r="4" spans="1:13" x14ac:dyDescent="0.35">
      <c r="A4" s="14" t="s">
        <v>12</v>
      </c>
      <c r="B4" s="83" t="s">
        <v>79</v>
      </c>
      <c r="C4" s="83"/>
      <c r="D4" s="83"/>
      <c r="E4" s="83"/>
      <c r="F4" s="83"/>
      <c r="G4" s="83"/>
      <c r="H4" s="83"/>
      <c r="I4" s="83"/>
      <c r="J4" s="83"/>
      <c r="K4" s="83"/>
      <c r="L4" s="83"/>
      <c r="M4" s="83"/>
    </row>
    <row r="5" spans="1:13" x14ac:dyDescent="0.35">
      <c r="A5" s="3" t="s">
        <v>13</v>
      </c>
      <c r="B5" s="84" t="s">
        <v>14</v>
      </c>
      <c r="C5" s="84"/>
      <c r="D5" s="84"/>
      <c r="E5" s="84"/>
      <c r="F5" s="84"/>
      <c r="G5" s="84"/>
      <c r="H5" s="84"/>
      <c r="I5" s="84"/>
      <c r="J5" s="84"/>
      <c r="K5" s="84"/>
      <c r="L5" s="84"/>
      <c r="M5" s="84"/>
    </row>
    <row r="6" spans="1:13" x14ac:dyDescent="0.35">
      <c r="A6" s="3" t="s">
        <v>101</v>
      </c>
      <c r="B6" t="s">
        <v>100</v>
      </c>
    </row>
    <row r="7" spans="1:13" ht="15" thickBot="1" x14ac:dyDescent="0.4"/>
    <row r="8" spans="1:13" ht="19.5" thickTop="1" thickBot="1" x14ac:dyDescent="0.5">
      <c r="A8" s="17"/>
      <c r="B8" s="97">
        <v>2019</v>
      </c>
      <c r="C8" s="97">
        <v>2020</v>
      </c>
      <c r="D8" s="97">
        <v>2021</v>
      </c>
      <c r="E8" s="97">
        <v>2022</v>
      </c>
      <c r="F8" s="97">
        <v>2023</v>
      </c>
      <c r="G8" s="98">
        <v>2024</v>
      </c>
    </row>
    <row r="9" spans="1:13" ht="15.5" thickTop="1" thickBot="1" x14ac:dyDescent="0.4">
      <c r="A9" s="8" t="s">
        <v>0</v>
      </c>
      <c r="B9" s="120">
        <v>1</v>
      </c>
      <c r="C9" s="120">
        <v>14</v>
      </c>
      <c r="D9" s="120">
        <v>3</v>
      </c>
      <c r="E9" s="120">
        <v>6</v>
      </c>
      <c r="F9" s="120">
        <v>6</v>
      </c>
      <c r="G9" s="121">
        <v>1</v>
      </c>
    </row>
    <row r="10"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8"/>
  <sheetViews>
    <sheetView showGridLines="0" zoomScaleNormal="100" workbookViewId="0">
      <selection activeCell="B8" sqref="B8:G17"/>
    </sheetView>
  </sheetViews>
  <sheetFormatPr defaultRowHeight="14.5" x14ac:dyDescent="0.35"/>
  <cols>
    <col min="1" max="1" width="12.6328125" customWidth="1"/>
    <col min="2" max="7" width="10.90625" bestFit="1" customWidth="1"/>
  </cols>
  <sheetData>
    <row r="1" spans="1:13" s="82" customFormat="1" ht="21" x14ac:dyDescent="0.5">
      <c r="A1" s="82" t="s">
        <v>33</v>
      </c>
    </row>
    <row r="3" spans="1:13" x14ac:dyDescent="0.35">
      <c r="A3" s="3" t="s">
        <v>4</v>
      </c>
      <c r="B3" s="84" t="s">
        <v>11</v>
      </c>
      <c r="C3" s="84"/>
      <c r="D3" s="84"/>
      <c r="E3" s="84"/>
      <c r="F3" s="84"/>
      <c r="G3" s="84"/>
      <c r="H3" s="84"/>
      <c r="I3" s="84"/>
      <c r="J3" s="84"/>
      <c r="K3" s="84"/>
      <c r="L3" s="84"/>
      <c r="M3" s="84"/>
    </row>
    <row r="4" spans="1:13" x14ac:dyDescent="0.35">
      <c r="A4" s="14" t="s">
        <v>12</v>
      </c>
      <c r="B4" s="83" t="s">
        <v>36</v>
      </c>
      <c r="C4" s="83"/>
      <c r="D4" s="83"/>
      <c r="E4" s="83"/>
      <c r="F4" s="83"/>
      <c r="G4" s="83"/>
      <c r="H4" s="83"/>
      <c r="I4" s="83"/>
      <c r="J4" s="83"/>
      <c r="K4" s="83"/>
      <c r="L4" s="83"/>
      <c r="M4" s="83"/>
    </row>
    <row r="5" spans="1:13" x14ac:dyDescent="0.35">
      <c r="A5" s="3" t="s">
        <v>13</v>
      </c>
      <c r="B5" s="84" t="s">
        <v>14</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15</v>
      </c>
      <c r="B9" s="24">
        <v>1226</v>
      </c>
      <c r="C9" s="24">
        <v>1035</v>
      </c>
      <c r="D9" s="24">
        <v>1129</v>
      </c>
      <c r="E9" s="24">
        <v>1058</v>
      </c>
      <c r="F9" s="24">
        <v>1447</v>
      </c>
      <c r="G9" s="25">
        <v>1447</v>
      </c>
    </row>
    <row r="10" spans="1:13" x14ac:dyDescent="0.35">
      <c r="A10" s="1" t="s">
        <v>16</v>
      </c>
      <c r="B10" s="4">
        <v>911</v>
      </c>
      <c r="C10" s="4">
        <v>765</v>
      </c>
      <c r="D10" s="4">
        <v>800</v>
      </c>
      <c r="E10" s="4">
        <v>776</v>
      </c>
      <c r="F10" s="4">
        <v>1054</v>
      </c>
      <c r="G10" s="5">
        <v>1046</v>
      </c>
    </row>
    <row r="11" spans="1:13" x14ac:dyDescent="0.35">
      <c r="A11" s="1" t="s">
        <v>17</v>
      </c>
      <c r="B11" s="4">
        <v>315</v>
      </c>
      <c r="C11" s="4">
        <v>270</v>
      </c>
      <c r="D11" s="4">
        <v>329</v>
      </c>
      <c r="E11" s="4">
        <v>282</v>
      </c>
      <c r="F11" s="4">
        <v>393</v>
      </c>
      <c r="G11" s="5">
        <v>401</v>
      </c>
    </row>
    <row r="12" spans="1:13" x14ac:dyDescent="0.35">
      <c r="A12" s="20" t="s">
        <v>18</v>
      </c>
      <c r="B12" s="26">
        <v>534</v>
      </c>
      <c r="C12" s="26">
        <v>452</v>
      </c>
      <c r="D12" s="26">
        <v>504</v>
      </c>
      <c r="E12" s="26">
        <v>494</v>
      </c>
      <c r="F12" s="26">
        <v>681</v>
      </c>
      <c r="G12" s="27">
        <v>629</v>
      </c>
    </row>
    <row r="13" spans="1:13" x14ac:dyDescent="0.35">
      <c r="A13" s="1" t="s">
        <v>16</v>
      </c>
      <c r="B13" s="4">
        <v>397</v>
      </c>
      <c r="C13" s="4">
        <v>334</v>
      </c>
      <c r="D13" s="4">
        <v>349</v>
      </c>
      <c r="E13" s="4">
        <v>376</v>
      </c>
      <c r="F13" s="4">
        <v>476</v>
      </c>
      <c r="G13" s="5">
        <v>442</v>
      </c>
    </row>
    <row r="14" spans="1:13" x14ac:dyDescent="0.35">
      <c r="A14" s="1" t="s">
        <v>17</v>
      </c>
      <c r="B14" s="4">
        <v>137</v>
      </c>
      <c r="C14" s="4">
        <v>118</v>
      </c>
      <c r="D14" s="4">
        <v>155</v>
      </c>
      <c r="E14" s="4">
        <v>118</v>
      </c>
      <c r="F14" s="4">
        <v>205</v>
      </c>
      <c r="G14" s="5">
        <v>187</v>
      </c>
    </row>
    <row r="15" spans="1:13" x14ac:dyDescent="0.35">
      <c r="A15" s="20" t="s">
        <v>19</v>
      </c>
      <c r="B15" s="26">
        <v>692</v>
      </c>
      <c r="C15" s="26">
        <v>583</v>
      </c>
      <c r="D15" s="26">
        <v>625</v>
      </c>
      <c r="E15" s="26">
        <v>564</v>
      </c>
      <c r="F15" s="26">
        <v>766</v>
      </c>
      <c r="G15" s="27">
        <v>818</v>
      </c>
    </row>
    <row r="16" spans="1:13" x14ac:dyDescent="0.35">
      <c r="A16" s="1" t="s">
        <v>16</v>
      </c>
      <c r="B16" s="28">
        <v>514</v>
      </c>
      <c r="C16" s="28">
        <v>431</v>
      </c>
      <c r="D16" s="28">
        <v>451</v>
      </c>
      <c r="E16" s="28">
        <v>400</v>
      </c>
      <c r="F16" s="28">
        <v>578</v>
      </c>
      <c r="G16" s="29">
        <v>604</v>
      </c>
    </row>
    <row r="17" spans="1:7" ht="15" thickBot="1" x14ac:dyDescent="0.4">
      <c r="A17" s="2" t="s">
        <v>17</v>
      </c>
      <c r="B17" s="6">
        <v>178</v>
      </c>
      <c r="C17" s="6">
        <v>152</v>
      </c>
      <c r="D17" s="6">
        <v>174</v>
      </c>
      <c r="E17" s="6">
        <v>164</v>
      </c>
      <c r="F17" s="6">
        <v>188</v>
      </c>
      <c r="G17" s="7">
        <v>214</v>
      </c>
    </row>
    <row r="18" spans="1:7"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E4854-D5D8-4DDA-AF70-F0336282DA42}">
  <sheetPr codeName="Sheet21"/>
  <dimension ref="A1:M12"/>
  <sheetViews>
    <sheetView showGridLines="0" zoomScaleNormal="100" workbookViewId="0">
      <selection activeCell="B8" sqref="B8:G11"/>
    </sheetView>
  </sheetViews>
  <sheetFormatPr defaultRowHeight="14.5" x14ac:dyDescent="0.35"/>
  <cols>
    <col min="1" max="1" width="18.7265625" customWidth="1"/>
    <col min="2" max="7" width="10.90625" bestFit="1" customWidth="1"/>
  </cols>
  <sheetData>
    <row r="1" spans="1:13" s="82" customFormat="1" ht="21" x14ac:dyDescent="0.5">
      <c r="A1" s="82" t="s">
        <v>81</v>
      </c>
    </row>
    <row r="3" spans="1:13" x14ac:dyDescent="0.35">
      <c r="A3" s="3" t="s">
        <v>4</v>
      </c>
      <c r="B3" s="84" t="s">
        <v>26</v>
      </c>
      <c r="C3" s="84"/>
      <c r="D3" s="84"/>
      <c r="E3" s="84"/>
      <c r="F3" s="84"/>
      <c r="G3" s="84"/>
      <c r="H3" s="84"/>
      <c r="I3" s="84"/>
      <c r="J3" s="84"/>
      <c r="K3" s="84"/>
      <c r="L3" s="84"/>
      <c r="M3" s="84"/>
    </row>
    <row r="4" spans="1:13" ht="28.5" customHeight="1" x14ac:dyDescent="0.35">
      <c r="A4" s="14" t="s">
        <v>12</v>
      </c>
      <c r="B4" s="83" t="s">
        <v>80</v>
      </c>
      <c r="C4" s="83"/>
      <c r="D4" s="83"/>
      <c r="E4" s="83"/>
      <c r="F4" s="83"/>
      <c r="G4" s="83"/>
      <c r="H4" s="83"/>
      <c r="I4" s="83"/>
      <c r="J4" s="83"/>
      <c r="K4" s="83"/>
      <c r="L4" s="83"/>
      <c r="M4" s="83"/>
    </row>
    <row r="5" spans="1:13" x14ac:dyDescent="0.35">
      <c r="A5" s="3" t="s">
        <v>13</v>
      </c>
      <c r="B5" s="84" t="s">
        <v>14</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24">
        <v>308</v>
      </c>
      <c r="C9" s="24">
        <v>162</v>
      </c>
      <c r="D9" s="24">
        <v>231</v>
      </c>
      <c r="E9" s="24">
        <v>236</v>
      </c>
      <c r="F9" s="24">
        <v>194</v>
      </c>
      <c r="G9" s="25"/>
    </row>
    <row r="10" spans="1:13" x14ac:dyDescent="0.35">
      <c r="A10" s="13" t="s">
        <v>55</v>
      </c>
      <c r="B10" s="28">
        <v>290</v>
      </c>
      <c r="C10" s="28">
        <v>159</v>
      </c>
      <c r="D10" s="28">
        <v>215</v>
      </c>
      <c r="E10" s="28">
        <v>220</v>
      </c>
      <c r="F10" s="28">
        <v>176</v>
      </c>
      <c r="G10" s="29"/>
    </row>
    <row r="11" spans="1:13" ht="15" thickBot="1" x14ac:dyDescent="0.4">
      <c r="A11" s="2" t="s">
        <v>27</v>
      </c>
      <c r="B11" s="6">
        <v>18</v>
      </c>
      <c r="C11" s="6">
        <v>3</v>
      </c>
      <c r="D11" s="6">
        <v>16</v>
      </c>
      <c r="E11" s="6">
        <v>16</v>
      </c>
      <c r="F11" s="6">
        <v>18</v>
      </c>
      <c r="G11" s="7"/>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188AF-83AB-4E74-BAA0-32191959176C}">
  <sheetPr codeName="Sheet22"/>
  <dimension ref="A1:M12"/>
  <sheetViews>
    <sheetView showGridLines="0" zoomScaleNormal="100" workbookViewId="0">
      <selection activeCell="B8" sqref="B8:G11"/>
    </sheetView>
  </sheetViews>
  <sheetFormatPr defaultRowHeight="14.5" x14ac:dyDescent="0.35"/>
  <cols>
    <col min="1" max="1" width="16.26953125" customWidth="1"/>
    <col min="2" max="7" width="10.90625" bestFit="1" customWidth="1"/>
  </cols>
  <sheetData>
    <row r="1" spans="1:13" s="82" customFormat="1" ht="21" x14ac:dyDescent="0.5">
      <c r="A1" s="82" t="s">
        <v>57</v>
      </c>
    </row>
    <row r="3" spans="1:13" x14ac:dyDescent="0.35">
      <c r="A3" s="3" t="s">
        <v>4</v>
      </c>
      <c r="B3" s="84" t="s">
        <v>28</v>
      </c>
      <c r="C3" s="84"/>
      <c r="D3" s="84"/>
      <c r="E3" s="84"/>
      <c r="F3" s="84"/>
      <c r="G3" s="84"/>
      <c r="H3" s="84"/>
      <c r="I3" s="84"/>
      <c r="J3" s="84"/>
      <c r="K3" s="84"/>
      <c r="L3" s="84"/>
      <c r="M3" s="84"/>
    </row>
    <row r="4" spans="1:13" ht="55" customHeight="1" x14ac:dyDescent="0.35">
      <c r="A4" s="14" t="s">
        <v>12</v>
      </c>
      <c r="B4" s="83" t="s">
        <v>82</v>
      </c>
      <c r="C4" s="83"/>
      <c r="D4" s="83"/>
      <c r="E4" s="83"/>
      <c r="F4" s="83"/>
      <c r="G4" s="83"/>
      <c r="H4" s="83"/>
      <c r="I4" s="83"/>
      <c r="J4" s="83"/>
      <c r="K4" s="83"/>
      <c r="L4" s="83"/>
      <c r="M4" s="83"/>
    </row>
    <row r="5" spans="1:13" x14ac:dyDescent="0.35">
      <c r="A5" s="3" t="s">
        <v>13</v>
      </c>
      <c r="B5" s="84" t="s">
        <v>29</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24">
        <v>163</v>
      </c>
      <c r="C9" s="24">
        <v>115</v>
      </c>
      <c r="D9" s="24">
        <v>84</v>
      </c>
      <c r="E9" s="24">
        <v>127</v>
      </c>
      <c r="F9" s="24">
        <v>87</v>
      </c>
      <c r="G9" s="25"/>
    </row>
    <row r="10" spans="1:13" x14ac:dyDescent="0.35">
      <c r="A10" s="13" t="s">
        <v>55</v>
      </c>
      <c r="B10" s="28">
        <v>156</v>
      </c>
      <c r="C10" s="28">
        <v>112</v>
      </c>
      <c r="D10" s="28">
        <v>77</v>
      </c>
      <c r="E10" s="28">
        <v>119</v>
      </c>
      <c r="F10" s="28">
        <v>79</v>
      </c>
      <c r="G10" s="29"/>
    </row>
    <row r="11" spans="1:13" ht="15" thickBot="1" x14ac:dyDescent="0.4">
      <c r="A11" s="2" t="s">
        <v>27</v>
      </c>
      <c r="B11" s="6">
        <v>7</v>
      </c>
      <c r="C11" s="6">
        <v>3</v>
      </c>
      <c r="D11" s="6">
        <v>7</v>
      </c>
      <c r="E11" s="6">
        <v>8</v>
      </c>
      <c r="F11" s="6">
        <v>8</v>
      </c>
      <c r="G11" s="7"/>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383B1-9EBF-43B2-9EE9-4A740A6FC8A8}">
  <sheetPr codeName="Sheet23"/>
  <dimension ref="A1:M12"/>
  <sheetViews>
    <sheetView showGridLines="0" zoomScaleNormal="100" workbookViewId="0">
      <selection activeCell="B8" sqref="B8:G11"/>
    </sheetView>
  </sheetViews>
  <sheetFormatPr defaultRowHeight="14.5" x14ac:dyDescent="0.35"/>
  <cols>
    <col min="1" max="1" width="18.08984375" customWidth="1"/>
    <col min="2" max="7" width="10.90625" bestFit="1" customWidth="1"/>
  </cols>
  <sheetData>
    <row r="1" spans="1:13" s="82" customFormat="1" ht="21" x14ac:dyDescent="0.5">
      <c r="A1" s="82" t="s">
        <v>58</v>
      </c>
    </row>
    <row r="3" spans="1:13" x14ac:dyDescent="0.35">
      <c r="A3" s="3" t="s">
        <v>4</v>
      </c>
      <c r="B3" s="84" t="s">
        <v>28</v>
      </c>
      <c r="C3" s="84"/>
      <c r="D3" s="84"/>
      <c r="E3" s="84"/>
      <c r="F3" s="84"/>
      <c r="G3" s="84"/>
      <c r="H3" s="84"/>
      <c r="I3" s="84"/>
      <c r="J3" s="84"/>
      <c r="K3" s="84"/>
      <c r="L3" s="84"/>
      <c r="M3" s="84"/>
    </row>
    <row r="4" spans="1:13" ht="26.5" customHeight="1" x14ac:dyDescent="0.35">
      <c r="A4" s="14" t="s">
        <v>12</v>
      </c>
      <c r="B4" s="83" t="s">
        <v>59</v>
      </c>
      <c r="C4" s="83"/>
      <c r="D4" s="83"/>
      <c r="E4" s="83"/>
      <c r="F4" s="83"/>
      <c r="G4" s="83"/>
      <c r="H4" s="83"/>
      <c r="I4" s="83"/>
      <c r="J4" s="83"/>
      <c r="K4" s="83"/>
      <c r="L4" s="83"/>
      <c r="M4" s="83"/>
    </row>
    <row r="5" spans="1:13" x14ac:dyDescent="0.35">
      <c r="A5" s="3" t="s">
        <v>13</v>
      </c>
      <c r="B5" s="84" t="s">
        <v>14</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65">
        <v>117</v>
      </c>
      <c r="C9" s="65">
        <v>43</v>
      </c>
      <c r="D9" s="65">
        <v>128</v>
      </c>
      <c r="E9" s="65">
        <v>219</v>
      </c>
      <c r="F9" s="65">
        <v>186</v>
      </c>
      <c r="G9" s="66"/>
    </row>
    <row r="10" spans="1:13" x14ac:dyDescent="0.35">
      <c r="A10" s="13" t="s">
        <v>60</v>
      </c>
      <c r="B10" s="69">
        <v>109</v>
      </c>
      <c r="C10" s="69">
        <v>43</v>
      </c>
      <c r="D10" s="69">
        <v>120</v>
      </c>
      <c r="E10" s="69">
        <v>205</v>
      </c>
      <c r="F10" s="69">
        <v>169</v>
      </c>
      <c r="G10" s="70"/>
    </row>
    <row r="11" spans="1:13" ht="15" thickBot="1" x14ac:dyDescent="0.4">
      <c r="A11" s="2" t="s">
        <v>27</v>
      </c>
      <c r="B11" s="71">
        <v>8</v>
      </c>
      <c r="C11" s="71">
        <v>0</v>
      </c>
      <c r="D11" s="71">
        <v>8</v>
      </c>
      <c r="E11" s="71">
        <v>14</v>
      </c>
      <c r="F11" s="71">
        <v>17</v>
      </c>
      <c r="G11" s="72"/>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B2A23-BE84-4539-B742-D9DA21864FC1}">
  <sheetPr codeName="Sheet24"/>
  <dimension ref="A1:M10"/>
  <sheetViews>
    <sheetView showGridLines="0" zoomScaleNormal="100" workbookViewId="0">
      <selection activeCell="B8" sqref="B8:G9"/>
    </sheetView>
  </sheetViews>
  <sheetFormatPr defaultRowHeight="14.5" x14ac:dyDescent="0.35"/>
  <cols>
    <col min="1" max="1" width="11.26953125" customWidth="1"/>
    <col min="2" max="7" width="10.90625" bestFit="1" customWidth="1"/>
  </cols>
  <sheetData>
    <row r="1" spans="1:13" s="82" customFormat="1" ht="21" x14ac:dyDescent="0.5">
      <c r="A1" s="82" t="s">
        <v>62</v>
      </c>
    </row>
    <row r="3" spans="1:13" x14ac:dyDescent="0.35">
      <c r="A3" s="3" t="s">
        <v>4</v>
      </c>
      <c r="B3" s="84" t="s">
        <v>30</v>
      </c>
      <c r="C3" s="84"/>
      <c r="D3" s="84"/>
      <c r="E3" s="84"/>
      <c r="F3" s="84"/>
      <c r="G3" s="84"/>
      <c r="H3" s="84"/>
      <c r="I3" s="84"/>
      <c r="J3" s="84"/>
      <c r="K3" s="84"/>
      <c r="L3" s="84"/>
      <c r="M3" s="84"/>
    </row>
    <row r="4" spans="1:13" ht="28" customHeight="1" x14ac:dyDescent="0.35">
      <c r="A4" s="14" t="s">
        <v>12</v>
      </c>
      <c r="B4" s="83" t="s">
        <v>83</v>
      </c>
      <c r="C4" s="83"/>
      <c r="D4" s="83"/>
      <c r="E4" s="83"/>
      <c r="F4" s="83"/>
      <c r="G4" s="83"/>
      <c r="H4" s="83"/>
      <c r="I4" s="83"/>
      <c r="J4" s="83"/>
      <c r="K4" s="83"/>
      <c r="L4" s="83"/>
      <c r="M4" s="83"/>
    </row>
    <row r="5" spans="1:13" x14ac:dyDescent="0.35">
      <c r="A5" s="3" t="s">
        <v>13</v>
      </c>
      <c r="B5" s="84" t="s">
        <v>20</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5" thickTop="1" thickBot="1" x14ac:dyDescent="0.4">
      <c r="A9" s="8" t="s">
        <v>0</v>
      </c>
      <c r="B9" s="9">
        <v>0.58214285714285718</v>
      </c>
      <c r="C9" s="9">
        <v>0.72784810126582278</v>
      </c>
      <c r="D9" s="9">
        <v>0.39622641509433965</v>
      </c>
      <c r="E9" s="9">
        <v>0.57999999999999996</v>
      </c>
      <c r="F9" s="9">
        <v>0.46774193548387094</v>
      </c>
      <c r="G9" s="10"/>
    </row>
    <row r="10"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E8EA6-44A8-47E5-9740-02592CBC9F62}">
  <sheetPr codeName="Sheet25"/>
  <dimension ref="A1:M10"/>
  <sheetViews>
    <sheetView showGridLines="0" zoomScaleNormal="100" workbookViewId="0">
      <selection activeCell="B8" sqref="B8:G9"/>
    </sheetView>
  </sheetViews>
  <sheetFormatPr defaultRowHeight="14.5" x14ac:dyDescent="0.35"/>
  <cols>
    <col min="1" max="1" width="11.26953125" customWidth="1"/>
    <col min="2" max="7" width="10.90625" bestFit="1" customWidth="1"/>
  </cols>
  <sheetData>
    <row r="1" spans="1:13" s="82" customFormat="1" ht="21" x14ac:dyDescent="0.5">
      <c r="A1" s="82" t="s">
        <v>61</v>
      </c>
    </row>
    <row r="3" spans="1:13" x14ac:dyDescent="0.35">
      <c r="A3" s="3" t="s">
        <v>4</v>
      </c>
      <c r="B3" s="84" t="s">
        <v>31</v>
      </c>
      <c r="C3" s="84"/>
      <c r="D3" s="84"/>
      <c r="E3" s="84"/>
      <c r="F3" s="84"/>
      <c r="G3" s="84"/>
      <c r="H3" s="84"/>
      <c r="I3" s="84"/>
      <c r="J3" s="84"/>
      <c r="K3" s="84"/>
      <c r="L3" s="84"/>
      <c r="M3" s="84"/>
    </row>
    <row r="4" spans="1:13" ht="28" customHeight="1" x14ac:dyDescent="0.35">
      <c r="A4" s="14" t="s">
        <v>12</v>
      </c>
      <c r="B4" s="83" t="s">
        <v>84</v>
      </c>
      <c r="C4" s="83"/>
      <c r="D4" s="83"/>
      <c r="E4" s="83"/>
      <c r="F4" s="83"/>
      <c r="G4" s="83"/>
      <c r="H4" s="83"/>
      <c r="I4" s="83"/>
      <c r="J4" s="83"/>
      <c r="K4" s="83"/>
      <c r="L4" s="83"/>
      <c r="M4" s="83"/>
    </row>
    <row r="5" spans="1:13" x14ac:dyDescent="0.35">
      <c r="A5" s="3" t="s">
        <v>13</v>
      </c>
      <c r="B5" s="84" t="s">
        <v>20</v>
      </c>
      <c r="C5" s="84"/>
      <c r="D5" s="84"/>
      <c r="E5" s="84"/>
      <c r="F5" s="84"/>
      <c r="G5" s="84"/>
      <c r="H5" s="84"/>
      <c r="I5" s="84"/>
      <c r="J5" s="84"/>
      <c r="K5" s="84"/>
      <c r="L5" s="84"/>
      <c r="M5" s="84"/>
    </row>
    <row r="7" spans="1:13" ht="15" thickBot="1" x14ac:dyDescent="0.4"/>
    <row r="8" spans="1:13" ht="19.5" thickTop="1" thickBot="1" x14ac:dyDescent="0.5">
      <c r="A8" s="17"/>
      <c r="B8" s="122">
        <v>2019</v>
      </c>
      <c r="C8" s="122">
        <v>2020</v>
      </c>
      <c r="D8" s="122">
        <v>2021</v>
      </c>
      <c r="E8" s="122">
        <v>2022</v>
      </c>
      <c r="F8" s="122">
        <v>2023</v>
      </c>
      <c r="G8" s="122">
        <v>2024</v>
      </c>
    </row>
    <row r="9" spans="1:13" ht="15.5" thickTop="1" thickBot="1" x14ac:dyDescent="0.4">
      <c r="A9" s="8" t="s">
        <v>0</v>
      </c>
      <c r="B9" s="123">
        <v>0.41785714285714287</v>
      </c>
      <c r="C9" s="123">
        <v>0.27215189873417722</v>
      </c>
      <c r="D9" s="123">
        <v>0.60377358490566035</v>
      </c>
      <c r="E9" s="123">
        <v>0.40200000000000002</v>
      </c>
      <c r="F9" s="123">
        <v>0.5161290322580645</v>
      </c>
      <c r="G9" s="124"/>
    </row>
    <row r="10"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35A73-B582-4F9F-9DD9-4EECAB6A6581}">
  <sheetPr codeName="Sheet26"/>
  <dimension ref="A1:M12"/>
  <sheetViews>
    <sheetView showGridLines="0" zoomScaleNormal="100" workbookViewId="0">
      <selection activeCell="B8" sqref="B8:G11"/>
    </sheetView>
  </sheetViews>
  <sheetFormatPr defaultRowHeight="14.5" x14ac:dyDescent="0.35"/>
  <cols>
    <col min="1" max="1" width="10.54296875" customWidth="1"/>
    <col min="2" max="7" width="10.90625" bestFit="1" customWidth="1"/>
  </cols>
  <sheetData>
    <row r="1" spans="1:13" s="82" customFormat="1" ht="21" x14ac:dyDescent="0.5">
      <c r="A1" s="82" t="s">
        <v>64</v>
      </c>
    </row>
    <row r="3" spans="1:13" x14ac:dyDescent="0.35">
      <c r="A3" s="3" t="s">
        <v>4</v>
      </c>
      <c r="B3" s="84" t="s">
        <v>63</v>
      </c>
      <c r="C3" s="84"/>
      <c r="D3" s="84"/>
      <c r="E3" s="84"/>
      <c r="F3" s="84"/>
      <c r="G3" s="84"/>
      <c r="H3" s="84"/>
      <c r="I3" s="84"/>
      <c r="J3" s="84"/>
      <c r="K3" s="84"/>
      <c r="L3" s="84"/>
      <c r="M3" s="84"/>
    </row>
    <row r="4" spans="1:13" ht="25.5" customHeight="1" x14ac:dyDescent="0.35">
      <c r="A4" s="14" t="s">
        <v>12</v>
      </c>
      <c r="B4" s="83" t="s">
        <v>85</v>
      </c>
      <c r="C4" s="83"/>
      <c r="D4" s="83"/>
      <c r="E4" s="83"/>
      <c r="F4" s="83"/>
      <c r="G4" s="83"/>
      <c r="H4" s="83"/>
      <c r="I4" s="83"/>
      <c r="J4" s="83"/>
      <c r="K4" s="83"/>
      <c r="L4" s="83"/>
      <c r="M4" s="83"/>
    </row>
    <row r="5" spans="1:13" x14ac:dyDescent="0.35">
      <c r="A5" s="3" t="s">
        <v>13</v>
      </c>
      <c r="B5" s="84" t="s">
        <v>14</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24">
        <v>448</v>
      </c>
      <c r="C9" s="24">
        <v>392</v>
      </c>
      <c r="D9" s="24">
        <v>544</v>
      </c>
      <c r="E9" s="24">
        <v>476</v>
      </c>
      <c r="F9" s="24">
        <v>457</v>
      </c>
      <c r="G9" s="25"/>
    </row>
    <row r="10" spans="1:13" x14ac:dyDescent="0.35">
      <c r="A10" s="13" t="s">
        <v>16</v>
      </c>
      <c r="B10" s="28">
        <v>434</v>
      </c>
      <c r="C10" s="28">
        <v>381</v>
      </c>
      <c r="D10" s="28">
        <v>533</v>
      </c>
      <c r="E10" s="28">
        <v>452</v>
      </c>
      <c r="F10" s="28">
        <v>443</v>
      </c>
      <c r="G10" s="29"/>
    </row>
    <row r="11" spans="1:13" ht="15" thickBot="1" x14ac:dyDescent="0.4">
      <c r="A11" s="2" t="s">
        <v>21</v>
      </c>
      <c r="B11" s="6">
        <v>14</v>
      </c>
      <c r="C11" s="6">
        <v>11</v>
      </c>
      <c r="D11" s="6">
        <v>11</v>
      </c>
      <c r="E11" s="6">
        <v>24</v>
      </c>
      <c r="F11" s="6">
        <v>14</v>
      </c>
      <c r="G11" s="7"/>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0032C-7A6E-4EFF-A804-5036EA37F2DA}">
  <sheetPr codeName="Sheet27"/>
  <dimension ref="A1:M12"/>
  <sheetViews>
    <sheetView showGridLines="0" zoomScaleNormal="100" workbookViewId="0">
      <selection activeCell="B8" sqref="B8:G11"/>
    </sheetView>
  </sheetViews>
  <sheetFormatPr defaultRowHeight="14.5" x14ac:dyDescent="0.35"/>
  <cols>
    <col min="1" max="1" width="10.90625" customWidth="1"/>
    <col min="2" max="7" width="10.90625" bestFit="1" customWidth="1"/>
  </cols>
  <sheetData>
    <row r="1" spans="1:13" s="82" customFormat="1" ht="21" x14ac:dyDescent="0.5">
      <c r="A1" s="82" t="s">
        <v>65</v>
      </c>
    </row>
    <row r="3" spans="1:13" x14ac:dyDescent="0.35">
      <c r="A3" s="3" t="s">
        <v>4</v>
      </c>
      <c r="B3" s="84" t="s">
        <v>93</v>
      </c>
      <c r="C3" s="84"/>
      <c r="D3" s="84"/>
      <c r="E3" s="84"/>
      <c r="F3" s="84"/>
      <c r="G3" s="84"/>
      <c r="H3" s="84"/>
      <c r="I3" s="84"/>
      <c r="J3" s="84"/>
      <c r="K3" s="84"/>
      <c r="L3" s="84"/>
      <c r="M3" s="84"/>
    </row>
    <row r="4" spans="1:13" ht="25.5" customHeight="1" x14ac:dyDescent="0.35">
      <c r="A4" s="14" t="s">
        <v>12</v>
      </c>
      <c r="B4" s="83" t="s">
        <v>66</v>
      </c>
      <c r="C4" s="83"/>
      <c r="D4" s="83"/>
      <c r="E4" s="83"/>
      <c r="F4" s="83"/>
      <c r="G4" s="83"/>
      <c r="H4" s="83"/>
      <c r="I4" s="83"/>
      <c r="J4" s="83"/>
      <c r="K4" s="83"/>
      <c r="L4" s="83"/>
      <c r="M4" s="83"/>
    </row>
    <row r="5" spans="1:13" x14ac:dyDescent="0.35">
      <c r="A5" s="3" t="s">
        <v>13</v>
      </c>
      <c r="B5" s="84" t="s">
        <v>20</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30">
        <f>(3) / 100</f>
        <v>0.03</v>
      </c>
      <c r="C9" s="30">
        <f>(2.9) / 100</f>
        <v>2.8999999999999998E-2</v>
      </c>
      <c r="D9" s="30">
        <v>3.3588540380340801E-2</v>
      </c>
      <c r="E9" s="30">
        <v>2.9000000000000001E-2</v>
      </c>
      <c r="F9" s="30">
        <v>3.3000000000000002E-2</v>
      </c>
      <c r="G9" s="31"/>
    </row>
    <row r="10" spans="1:13" x14ac:dyDescent="0.35">
      <c r="A10" s="13" t="s">
        <v>16</v>
      </c>
      <c r="B10" s="36">
        <f>(3.12770250792736) / 100</f>
        <v>3.1277025079273602E-2</v>
      </c>
      <c r="C10" s="36">
        <f>(2.98800094110266) / 100</f>
        <v>2.9880009411026597E-2</v>
      </c>
      <c r="D10" s="36">
        <v>3.2909360335885401E-2</v>
      </c>
      <c r="E10" s="36">
        <v>2.9000000000000001E-2</v>
      </c>
      <c r="F10" s="36">
        <v>3.4000000000000002E-2</v>
      </c>
      <c r="G10" s="37"/>
    </row>
    <row r="11" spans="1:13" ht="15" thickBot="1" x14ac:dyDescent="0.4">
      <c r="A11" s="2" t="s">
        <v>21</v>
      </c>
      <c r="B11" s="38">
        <f>(1.65289256198347) / 100</f>
        <v>1.6528925619834701E-2</v>
      </c>
      <c r="C11" s="38">
        <f>(1.67173252279635) / 100</f>
        <v>1.67173252279635E-2</v>
      </c>
      <c r="D11" s="38">
        <v>6.7918004445542094E-4</v>
      </c>
      <c r="E11" s="38">
        <v>2.8000000000000001E-2</v>
      </c>
      <c r="F11" s="38">
        <v>1.9E-2</v>
      </c>
      <c r="G11" s="39"/>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ADABA-6B40-4E22-B67B-605FC0B890F5}">
  <sheetPr codeName="Sheet28"/>
  <dimension ref="A1:M12"/>
  <sheetViews>
    <sheetView showGridLines="0" zoomScaleNormal="100" workbookViewId="0">
      <selection activeCell="B8" sqref="B8:G11"/>
    </sheetView>
  </sheetViews>
  <sheetFormatPr defaultRowHeight="14.5" x14ac:dyDescent="0.35"/>
  <cols>
    <col min="1" max="1" width="10.7265625" customWidth="1"/>
    <col min="2" max="7" width="10.90625" bestFit="1" customWidth="1"/>
  </cols>
  <sheetData>
    <row r="1" spans="1:13" s="82" customFormat="1" ht="21" x14ac:dyDescent="0.5">
      <c r="A1" s="82" t="s">
        <v>86</v>
      </c>
    </row>
    <row r="3" spans="1:13" x14ac:dyDescent="0.35">
      <c r="A3" s="3" t="s">
        <v>4</v>
      </c>
      <c r="B3" s="84" t="s">
        <v>93</v>
      </c>
      <c r="C3" s="84"/>
      <c r="D3" s="84"/>
      <c r="E3" s="84"/>
      <c r="F3" s="84"/>
      <c r="G3" s="84"/>
      <c r="H3" s="84"/>
      <c r="I3" s="84"/>
      <c r="J3" s="84"/>
      <c r="K3" s="84"/>
      <c r="L3" s="84"/>
      <c r="M3" s="84"/>
    </row>
    <row r="4" spans="1:13" ht="25.5" customHeight="1" x14ac:dyDescent="0.35">
      <c r="A4" s="14" t="s">
        <v>12</v>
      </c>
      <c r="B4" s="83" t="s">
        <v>87</v>
      </c>
      <c r="C4" s="83"/>
      <c r="D4" s="83"/>
      <c r="E4" s="83"/>
      <c r="F4" s="83"/>
      <c r="G4" s="83"/>
      <c r="H4" s="83"/>
      <c r="I4" s="83"/>
      <c r="J4" s="83"/>
      <c r="K4" s="83"/>
      <c r="L4" s="83"/>
      <c r="M4" s="83"/>
    </row>
    <row r="5" spans="1:13" x14ac:dyDescent="0.35">
      <c r="A5" s="3" t="s">
        <v>13</v>
      </c>
      <c r="B5" s="84" t="s">
        <v>14</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21">
        <v>288.98937577004705</v>
      </c>
      <c r="C9" s="21">
        <v>262.46719160104988</v>
      </c>
      <c r="D9" s="21">
        <v>385.41651906536492</v>
      </c>
      <c r="E9" s="21">
        <v>354.1</v>
      </c>
      <c r="F9" s="86"/>
      <c r="G9" s="87"/>
    </row>
    <row r="10" spans="1:13" x14ac:dyDescent="0.35">
      <c r="A10" s="13" t="s">
        <v>16</v>
      </c>
      <c r="B10" s="23">
        <v>547.10939666691877</v>
      </c>
      <c r="C10" s="23">
        <v>498.04572608792267</v>
      </c>
      <c r="D10" s="23">
        <v>736.91050615935512</v>
      </c>
      <c r="E10" s="23">
        <v>658.8</v>
      </c>
      <c r="F10" s="90"/>
      <c r="G10" s="91"/>
    </row>
    <row r="11" spans="1:13" ht="15" thickBot="1" x14ac:dyDescent="0.4">
      <c r="A11" s="2" t="s">
        <v>21</v>
      </c>
      <c r="B11" s="12">
        <v>18.494788432830891</v>
      </c>
      <c r="C11" s="12">
        <v>15.098897780462027</v>
      </c>
      <c r="D11" s="12">
        <v>15.98442245375416</v>
      </c>
      <c r="E11" s="12">
        <v>36.5</v>
      </c>
      <c r="F11" s="92"/>
      <c r="G11" s="93"/>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1FCE3-DD20-4401-95DA-0F27DC038D77}">
  <sheetPr codeName="Sheet3"/>
  <dimension ref="A1:N18"/>
  <sheetViews>
    <sheetView showGridLines="0" zoomScaleNormal="100" workbookViewId="0">
      <selection activeCell="B8" sqref="B8:G17"/>
    </sheetView>
  </sheetViews>
  <sheetFormatPr defaultRowHeight="14.5" x14ac:dyDescent="0.35"/>
  <cols>
    <col min="1" max="1" width="13.7265625" customWidth="1"/>
    <col min="2" max="7" width="10.90625" bestFit="1" customWidth="1"/>
  </cols>
  <sheetData>
    <row r="1" spans="1:14" s="82" customFormat="1" ht="21" x14ac:dyDescent="0.5">
      <c r="A1" s="82" t="s">
        <v>34</v>
      </c>
    </row>
    <row r="3" spans="1:14" x14ac:dyDescent="0.35">
      <c r="A3" s="3" t="s">
        <v>4</v>
      </c>
      <c r="B3" s="84" t="s">
        <v>88</v>
      </c>
      <c r="C3" s="84"/>
      <c r="D3" s="84"/>
      <c r="E3" s="84"/>
      <c r="F3" s="84"/>
      <c r="G3" s="84"/>
      <c r="H3" s="84"/>
      <c r="I3" s="84"/>
      <c r="J3" s="84"/>
      <c r="K3" s="84"/>
      <c r="L3" s="84"/>
      <c r="M3" s="84"/>
    </row>
    <row r="4" spans="1:14" ht="15.5" customHeight="1" x14ac:dyDescent="0.35">
      <c r="A4" s="14" t="s">
        <v>12</v>
      </c>
      <c r="B4" s="83" t="s">
        <v>67</v>
      </c>
      <c r="C4" s="83"/>
      <c r="D4" s="83"/>
      <c r="E4" s="83"/>
      <c r="F4" s="83"/>
      <c r="G4" s="83"/>
      <c r="H4" s="83"/>
      <c r="I4" s="83"/>
      <c r="J4" s="83"/>
      <c r="K4" s="83"/>
      <c r="L4" s="83"/>
      <c r="M4" s="83"/>
      <c r="N4" s="85"/>
    </row>
    <row r="5" spans="1:14" x14ac:dyDescent="0.35">
      <c r="A5" s="3" t="s">
        <v>13</v>
      </c>
      <c r="B5" s="84" t="s">
        <v>20</v>
      </c>
      <c r="C5" s="84"/>
      <c r="D5" s="84"/>
      <c r="E5" s="84"/>
      <c r="F5" s="84"/>
      <c r="G5" s="84"/>
      <c r="H5" s="84"/>
      <c r="I5" s="84"/>
      <c r="J5" s="84"/>
      <c r="K5" s="84"/>
      <c r="L5" s="84"/>
      <c r="M5" s="84"/>
    </row>
    <row r="7" spans="1:14" ht="15" thickBot="1" x14ac:dyDescent="0.4"/>
    <row r="8" spans="1:14" ht="19.5" thickTop="1" thickBot="1" x14ac:dyDescent="0.5">
      <c r="A8" s="17"/>
      <c r="B8" s="18">
        <v>2019</v>
      </c>
      <c r="C8" s="18">
        <v>2020</v>
      </c>
      <c r="D8" s="18">
        <v>2021</v>
      </c>
      <c r="E8" s="18">
        <v>2022</v>
      </c>
      <c r="F8" s="18">
        <v>2023</v>
      </c>
      <c r="G8" s="18">
        <v>2024</v>
      </c>
    </row>
    <row r="9" spans="1:14" ht="15" thickTop="1" x14ac:dyDescent="0.35">
      <c r="A9" s="19" t="s">
        <v>15</v>
      </c>
      <c r="B9" s="30">
        <f>(6.50121964153145) / 100</f>
        <v>6.5012196415314499E-2</v>
      </c>
      <c r="C9" s="30">
        <f>(5.80514891468955) / 100</f>
        <v>5.80514891468955E-2</v>
      </c>
      <c r="D9" s="30">
        <v>6.6765227675931391E-2</v>
      </c>
      <c r="E9" s="30">
        <v>7.8E-2</v>
      </c>
      <c r="F9" s="30">
        <v>8.5000000000000006E-2</v>
      </c>
      <c r="G9" s="31">
        <v>8.1470637914531838E-2</v>
      </c>
    </row>
    <row r="10" spans="1:14" x14ac:dyDescent="0.35">
      <c r="A10" s="1" t="s">
        <v>16</v>
      </c>
      <c r="B10" s="32">
        <f>(6.59810241182009) / 100</f>
        <v>6.5981024118200893E-2</v>
      </c>
      <c r="C10" s="32">
        <f>(5.7592411352857) / 100</f>
        <v>5.7592411352857004E-2</v>
      </c>
      <c r="D10" s="32">
        <v>6.5579145831625496E-2</v>
      </c>
      <c r="E10" s="32">
        <v>8.2000000000000003E-2</v>
      </c>
      <c r="F10" s="32">
        <v>8.7999999999999995E-2</v>
      </c>
      <c r="G10" s="33">
        <v>8.33997767501196E-2</v>
      </c>
    </row>
    <row r="11" spans="1:14" x14ac:dyDescent="0.35">
      <c r="A11" s="1" t="s">
        <v>21</v>
      </c>
      <c r="B11" s="32">
        <f>(6.23638883389428) / 100</f>
        <v>6.2363888338942797E-2</v>
      </c>
      <c r="C11" s="32">
        <f>(5.93928728552574) / 100</f>
        <v>5.9392872855257399E-2</v>
      </c>
      <c r="D11" s="32">
        <v>6.9836552748885602E-2</v>
      </c>
      <c r="E11" s="32">
        <v>6.7000000000000004E-2</v>
      </c>
      <c r="F11" s="32">
        <v>7.9000000000000001E-2</v>
      </c>
      <c r="G11" s="33">
        <v>7.6834642651849014E-2</v>
      </c>
    </row>
    <row r="12" spans="1:14" x14ac:dyDescent="0.35">
      <c r="A12" s="20" t="s">
        <v>18</v>
      </c>
      <c r="B12" s="34">
        <f>(2.83168946866052) / 100</f>
        <v>2.8316894686605202E-2</v>
      </c>
      <c r="C12" s="34">
        <f>(2.53519546805766) / 100</f>
        <v>2.5351954680576601E-2</v>
      </c>
      <c r="D12" s="34">
        <v>2.5000000000000001E-2</v>
      </c>
      <c r="E12" s="34">
        <v>3.5999999999999997E-2</v>
      </c>
      <c r="F12" s="34">
        <v>0.04</v>
      </c>
      <c r="G12" s="35">
        <v>3.541467259726367E-2</v>
      </c>
    </row>
    <row r="13" spans="1:14" x14ac:dyDescent="0.35">
      <c r="A13" s="1" t="s">
        <v>16</v>
      </c>
      <c r="B13" s="32">
        <f>(2.87535308177012) / 100</f>
        <v>2.8753530817701201E-2</v>
      </c>
      <c r="C13" s="32">
        <f>(2.51449220808552) / 100</f>
        <v>2.5144922080855201E-2</v>
      </c>
      <c r="D13" s="32">
        <v>2.8608902369046597E-2</v>
      </c>
      <c r="E13" s="32">
        <v>0.04</v>
      </c>
      <c r="F13" s="32">
        <v>0.04</v>
      </c>
      <c r="G13" s="33">
        <v>3.5241588263434862E-2</v>
      </c>
    </row>
    <row r="14" spans="1:14" x14ac:dyDescent="0.35">
      <c r="A14" s="1" t="s">
        <v>21</v>
      </c>
      <c r="B14" s="32">
        <f>(2.71233419124926) / 100</f>
        <v>2.7123341912492598E-2</v>
      </c>
      <c r="C14" s="32">
        <f>(2.59568851737791) / 100</f>
        <v>2.5956885173779098E-2</v>
      </c>
      <c r="D14" s="32">
        <v>3.2901719380174096E-2</v>
      </c>
      <c r="E14" s="32">
        <v>2.8000000000000001E-2</v>
      </c>
      <c r="F14" s="32">
        <v>4.1000000000000002E-2</v>
      </c>
      <c r="G14" s="33">
        <v>3.5830618892508145E-2</v>
      </c>
    </row>
    <row r="15" spans="1:14" x14ac:dyDescent="0.35">
      <c r="A15" s="20" t="s">
        <v>19</v>
      </c>
      <c r="B15" s="34">
        <f>(3.66953017287093) / 100</f>
        <v>3.6695301728709301E-2</v>
      </c>
      <c r="C15" s="34">
        <f>(3.26995344663189) / 100</f>
        <v>3.2699534466318896E-2</v>
      </c>
      <c r="D15" s="34">
        <v>3.3000000000000002E-2</v>
      </c>
      <c r="E15" s="34">
        <v>4.1000000000000002E-2</v>
      </c>
      <c r="F15" s="34">
        <v>4.4999999999999998E-2</v>
      </c>
      <c r="G15" s="35">
        <v>4.6055965317268174E-2</v>
      </c>
    </row>
    <row r="16" spans="1:14" x14ac:dyDescent="0.35">
      <c r="A16" s="13" t="s">
        <v>16</v>
      </c>
      <c r="B16" s="36">
        <f>(3.72274933004997) / 100</f>
        <v>3.7227493300499702E-2</v>
      </c>
      <c r="C16" s="36">
        <f>(3.24474892720018) / 100</f>
        <v>3.2447489272001799E-2</v>
      </c>
      <c r="D16" s="36">
        <v>3.6970243462578899E-2</v>
      </c>
      <c r="E16" s="36">
        <v>4.2000000000000003E-2</v>
      </c>
      <c r="F16" s="36">
        <v>4.8000000000000001E-2</v>
      </c>
      <c r="G16" s="37">
        <v>4.8158188486684739E-2</v>
      </c>
    </row>
    <row r="17" spans="1:7" ht="15" thickBot="1" x14ac:dyDescent="0.4">
      <c r="A17" s="2" t="s">
        <v>21</v>
      </c>
      <c r="B17" s="38">
        <f>(3.52405464264502) / 100</f>
        <v>3.5240546426450199E-2</v>
      </c>
      <c r="C17" s="38">
        <f>(3.34359876814782) / 100</f>
        <v>3.3435987681478201E-2</v>
      </c>
      <c r="D17" s="38">
        <v>3.6934833368711499E-2</v>
      </c>
      <c r="E17" s="38">
        <v>3.9E-2</v>
      </c>
      <c r="F17" s="38">
        <v>3.7999999999999999E-2</v>
      </c>
      <c r="G17" s="39">
        <v>4.1004023759340869E-2</v>
      </c>
    </row>
    <row r="18" spans="1:7" ht="15" thickTop="1" x14ac:dyDescent="0.35"/>
  </sheetData>
  <mergeCells count="4">
    <mergeCell ref="A1:XFD1"/>
    <mergeCell ref="B4:N4"/>
    <mergeCell ref="B3:M3"/>
    <mergeCell ref="B5:M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61405-FB1D-4C70-89C9-C9C3485FC4CD}">
  <sheetPr codeName="Sheet4"/>
  <dimension ref="A1:M19"/>
  <sheetViews>
    <sheetView showGridLines="0" topLeftCell="A7" zoomScaleNormal="100" workbookViewId="0">
      <selection activeCell="A19" sqref="A19"/>
    </sheetView>
  </sheetViews>
  <sheetFormatPr defaultRowHeight="14.5" x14ac:dyDescent="0.35"/>
  <cols>
    <col min="1" max="1" width="13.08984375" customWidth="1"/>
    <col min="2" max="7" width="10.90625" bestFit="1" customWidth="1"/>
  </cols>
  <sheetData>
    <row r="1" spans="1:13" s="82" customFormat="1" ht="21" x14ac:dyDescent="0.5">
      <c r="A1" s="82" t="s">
        <v>35</v>
      </c>
    </row>
    <row r="3" spans="1:13" x14ac:dyDescent="0.35">
      <c r="A3" s="3" t="s">
        <v>4</v>
      </c>
      <c r="B3" s="84" t="s">
        <v>89</v>
      </c>
      <c r="C3" s="84"/>
      <c r="D3" s="84"/>
      <c r="E3" s="84"/>
      <c r="F3" s="84"/>
      <c r="G3" s="84"/>
      <c r="H3" s="84"/>
      <c r="I3" s="84"/>
      <c r="J3" s="84"/>
      <c r="K3" s="84"/>
      <c r="L3" s="84"/>
      <c r="M3" s="84"/>
    </row>
    <row r="4" spans="1:13" ht="28" customHeight="1" x14ac:dyDescent="0.35">
      <c r="A4" s="14" t="s">
        <v>12</v>
      </c>
      <c r="B4" s="83" t="s">
        <v>37</v>
      </c>
      <c r="C4" s="83"/>
      <c r="D4" s="83"/>
      <c r="E4" s="83"/>
      <c r="F4" s="83"/>
      <c r="G4" s="83"/>
      <c r="H4" s="83"/>
      <c r="I4" s="83"/>
      <c r="J4" s="83"/>
      <c r="K4" s="83"/>
      <c r="L4" s="83"/>
      <c r="M4" s="83"/>
    </row>
    <row r="5" spans="1:13" x14ac:dyDescent="0.35">
      <c r="A5" s="3" t="s">
        <v>13</v>
      </c>
      <c r="B5" s="84" t="s">
        <v>14</v>
      </c>
      <c r="C5" s="84"/>
      <c r="D5" s="84"/>
      <c r="E5" s="84"/>
      <c r="F5" s="84"/>
      <c r="G5" s="84"/>
      <c r="H5" s="84"/>
      <c r="I5" s="84"/>
      <c r="J5" s="84"/>
      <c r="K5" s="84"/>
      <c r="L5" s="84"/>
      <c r="M5" s="84"/>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15</v>
      </c>
      <c r="B9" s="21">
        <v>203.07090918125652</v>
      </c>
      <c r="C9" s="21">
        <v>176.06771887684107</v>
      </c>
      <c r="D9" s="21">
        <v>197.90768281481172</v>
      </c>
      <c r="E9" s="21">
        <v>191.7</v>
      </c>
      <c r="F9" s="86"/>
      <c r="G9" s="87"/>
    </row>
    <row r="10" spans="1:13" x14ac:dyDescent="0.35">
      <c r="A10" s="1" t="s">
        <v>16</v>
      </c>
      <c r="B10" s="11">
        <v>294.7943396898026</v>
      </c>
      <c r="C10" s="11">
        <v>254.50710457414141</v>
      </c>
      <c r="D10" s="11">
        <v>274.69037244580875</v>
      </c>
      <c r="E10" s="11">
        <v>276.3</v>
      </c>
      <c r="F10" s="88"/>
      <c r="G10" s="89"/>
    </row>
    <row r="11" spans="1:13" x14ac:dyDescent="0.35">
      <c r="A11" s="1" t="s">
        <v>21</v>
      </c>
      <c r="B11" s="11">
        <v>106.88799834408435</v>
      </c>
      <c r="C11" s="11">
        <v>93.991178753816214</v>
      </c>
      <c r="D11" s="11">
        <v>117.82359408518396</v>
      </c>
      <c r="E11" s="11">
        <v>104</v>
      </c>
      <c r="F11" s="88"/>
      <c r="G11" s="89"/>
    </row>
    <row r="12" spans="1:13" x14ac:dyDescent="0.35">
      <c r="A12" s="20" t="s">
        <v>18</v>
      </c>
      <c r="B12" s="22">
        <v>119.00861809599583</v>
      </c>
      <c r="C12" s="22">
        <v>103.08102807361627</v>
      </c>
      <c r="D12" s="22">
        <v>117.39440326840925</v>
      </c>
      <c r="E12" s="22">
        <v>109.9</v>
      </c>
      <c r="F12" s="88"/>
      <c r="G12" s="89"/>
    </row>
    <row r="13" spans="1:13" x14ac:dyDescent="0.35">
      <c r="A13" s="1" t="s">
        <v>16</v>
      </c>
      <c r="B13" s="11">
        <v>172.83187420277488</v>
      </c>
      <c r="C13" s="11">
        <v>149.05257896662829</v>
      </c>
      <c r="D13" s="11">
        <v>159.42770478922654</v>
      </c>
      <c r="E13" s="11">
        <v>164.5</v>
      </c>
      <c r="F13" s="88"/>
      <c r="G13" s="89"/>
    </row>
    <row r="14" spans="1:13" x14ac:dyDescent="0.35">
      <c r="A14" s="1" t="s">
        <v>21</v>
      </c>
      <c r="B14" s="11">
        <v>62.555935051414586</v>
      </c>
      <c r="C14" s="11">
        <v>55.035259878362744</v>
      </c>
      <c r="D14" s="11">
        <v>73.664299903998781</v>
      </c>
      <c r="E14" s="11">
        <v>53.4</v>
      </c>
      <c r="F14" s="88"/>
      <c r="G14" s="89"/>
    </row>
    <row r="15" spans="1:13" x14ac:dyDescent="0.35">
      <c r="A15" s="20" t="s">
        <v>19</v>
      </c>
      <c r="B15" s="22">
        <v>446.38537507337617</v>
      </c>
      <c r="C15" s="22">
        <v>390.35299159033696</v>
      </c>
      <c r="D15" s="22">
        <v>442.80390517620054</v>
      </c>
      <c r="E15" s="22">
        <v>419.5</v>
      </c>
      <c r="F15" s="88"/>
      <c r="G15" s="89"/>
    </row>
    <row r="16" spans="1:13" x14ac:dyDescent="0.35">
      <c r="A16" s="13" t="s">
        <v>16</v>
      </c>
      <c r="B16" s="23">
        <v>647.95905503870108</v>
      </c>
      <c r="C16" s="23">
        <v>563.4060575955242</v>
      </c>
      <c r="D16" s="23">
        <v>623.53965905791597</v>
      </c>
      <c r="E16" s="23">
        <v>583</v>
      </c>
      <c r="F16" s="90"/>
      <c r="G16" s="91"/>
    </row>
    <row r="17" spans="1:7" ht="15" thickBot="1" x14ac:dyDescent="0.4">
      <c r="A17" s="2" t="s">
        <v>21</v>
      </c>
      <c r="B17" s="12">
        <v>235.14802436027847</v>
      </c>
      <c r="C17" s="12">
        <v>208.63931478456618</v>
      </c>
      <c r="D17" s="12">
        <v>252.84450063211128</v>
      </c>
      <c r="E17" s="12">
        <v>249.2</v>
      </c>
      <c r="F17" s="92"/>
      <c r="G17" s="93"/>
    </row>
    <row r="18" spans="1:7" ht="15" thickTop="1" x14ac:dyDescent="0.35"/>
    <row r="19" spans="1:7" x14ac:dyDescent="0.35">
      <c r="A19" s="3" t="s">
        <v>102</v>
      </c>
    </row>
  </sheetData>
  <mergeCells count="4">
    <mergeCell ref="A1:XFD1"/>
    <mergeCell ref="B4:M4"/>
    <mergeCell ref="B3:M3"/>
    <mergeCell ref="B5:M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53051-1360-4511-BA46-39B39FDDDBE9}">
  <sheetPr codeName="Sheet6"/>
  <dimension ref="A1:O11"/>
  <sheetViews>
    <sheetView showGridLines="0" zoomScaleNormal="100" workbookViewId="0">
      <selection activeCell="A11" sqref="A11"/>
    </sheetView>
  </sheetViews>
  <sheetFormatPr defaultRowHeight="14.5" x14ac:dyDescent="0.35"/>
  <cols>
    <col min="1" max="1" width="11.26953125" customWidth="1"/>
    <col min="2" max="7" width="10.90625" bestFit="1" customWidth="1"/>
    <col min="13" max="13" width="7.6328125" customWidth="1"/>
  </cols>
  <sheetData>
    <row r="1" spans="1:15" s="82" customFormat="1" ht="21" x14ac:dyDescent="0.5">
      <c r="A1" s="82" t="s">
        <v>38</v>
      </c>
    </row>
    <row r="3" spans="1:15" x14ac:dyDescent="0.35">
      <c r="A3" s="3" t="s">
        <v>4</v>
      </c>
      <c r="B3" s="84" t="s">
        <v>88</v>
      </c>
      <c r="C3" s="84"/>
      <c r="D3" s="84"/>
      <c r="E3" s="84"/>
      <c r="F3" s="84"/>
      <c r="G3" s="84"/>
      <c r="H3" s="84"/>
      <c r="I3" s="84"/>
      <c r="J3" s="84"/>
      <c r="K3" s="84"/>
      <c r="L3" s="84"/>
      <c r="M3" s="84"/>
    </row>
    <row r="4" spans="1:15" ht="28" customHeight="1" x14ac:dyDescent="0.35">
      <c r="A4" s="14" t="s">
        <v>12</v>
      </c>
      <c r="B4" s="83" t="s">
        <v>68</v>
      </c>
      <c r="C4" s="83"/>
      <c r="D4" s="83"/>
      <c r="E4" s="83"/>
      <c r="F4" s="83"/>
      <c r="G4" s="83"/>
      <c r="H4" s="83"/>
      <c r="I4" s="83"/>
      <c r="J4" s="83"/>
      <c r="K4" s="83"/>
      <c r="L4" s="83"/>
      <c r="M4" s="83"/>
      <c r="N4" s="85"/>
      <c r="O4" s="85"/>
    </row>
    <row r="5" spans="1:15" x14ac:dyDescent="0.35">
      <c r="A5" s="3" t="s">
        <v>13</v>
      </c>
      <c r="B5" s="84" t="s">
        <v>14</v>
      </c>
      <c r="C5" s="84"/>
      <c r="D5" s="84"/>
      <c r="E5" s="84"/>
      <c r="F5" s="84"/>
      <c r="G5" s="84"/>
      <c r="H5" s="84"/>
      <c r="I5" s="84"/>
      <c r="J5" s="84"/>
      <c r="K5" s="84"/>
      <c r="L5" s="84"/>
      <c r="M5" s="84"/>
    </row>
    <row r="7" spans="1:15" ht="15" thickBot="1" x14ac:dyDescent="0.4"/>
    <row r="8" spans="1:15" ht="19.5" thickTop="1" thickBot="1" x14ac:dyDescent="0.5">
      <c r="A8" s="17"/>
      <c r="B8" s="18">
        <v>2019</v>
      </c>
      <c r="C8" s="18">
        <v>2020</v>
      </c>
      <c r="D8" s="18">
        <v>2021</v>
      </c>
      <c r="E8" s="18">
        <v>2022</v>
      </c>
      <c r="F8" s="18">
        <v>2023</v>
      </c>
      <c r="G8" s="18">
        <v>2024</v>
      </c>
    </row>
    <row r="9" spans="1:15" ht="15.5" thickTop="1" thickBot="1" x14ac:dyDescent="0.4">
      <c r="A9" s="8" t="s">
        <v>0</v>
      </c>
      <c r="B9" s="94">
        <v>0.16563695691782751</v>
      </c>
      <c r="C9" s="94">
        <v>0</v>
      </c>
      <c r="D9" s="94">
        <v>0.2</v>
      </c>
      <c r="E9" s="94">
        <v>0.54</v>
      </c>
      <c r="F9" s="95"/>
      <c r="G9" s="96"/>
    </row>
    <row r="10" spans="1:15" ht="15" thickTop="1" x14ac:dyDescent="0.35"/>
    <row r="11" spans="1:15" x14ac:dyDescent="0.35">
      <c r="A11" s="3" t="s">
        <v>102</v>
      </c>
    </row>
  </sheetData>
  <mergeCells count="4">
    <mergeCell ref="A1:XFD1"/>
    <mergeCell ref="B4:O4"/>
    <mergeCell ref="B3:M3"/>
    <mergeCell ref="B5:M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5A95E-888A-4183-9C19-61C22D555F88}">
  <sheetPr codeName="Sheet7"/>
  <dimension ref="A1:M12"/>
  <sheetViews>
    <sheetView showGridLines="0" zoomScaleNormal="100" workbookViewId="0">
      <selection activeCell="B8" sqref="B8:G11"/>
    </sheetView>
  </sheetViews>
  <sheetFormatPr defaultRowHeight="14.5" x14ac:dyDescent="0.35"/>
  <cols>
    <col min="1" max="1" width="11.26953125" customWidth="1"/>
    <col min="2" max="7" width="10.90625" bestFit="1" customWidth="1"/>
  </cols>
  <sheetData>
    <row r="1" spans="1:13" s="82" customFormat="1" ht="21" x14ac:dyDescent="0.5">
      <c r="A1" s="82" t="s">
        <v>39</v>
      </c>
    </row>
    <row r="3" spans="1:13" x14ac:dyDescent="0.35">
      <c r="A3" s="3" t="s">
        <v>4</v>
      </c>
      <c r="B3" s="83" t="s">
        <v>41</v>
      </c>
      <c r="C3" s="83"/>
      <c r="D3" s="83"/>
      <c r="E3" s="83"/>
      <c r="F3" s="83"/>
      <c r="G3" s="83"/>
      <c r="H3" s="83"/>
      <c r="I3" s="83"/>
      <c r="J3" s="83"/>
      <c r="K3" s="83"/>
      <c r="L3" s="83"/>
      <c r="M3" s="83"/>
    </row>
    <row r="4" spans="1:13" x14ac:dyDescent="0.35">
      <c r="A4" s="14" t="s">
        <v>12</v>
      </c>
      <c r="B4" s="83" t="s">
        <v>40</v>
      </c>
      <c r="C4" s="83"/>
      <c r="D4" s="83"/>
      <c r="E4" s="83"/>
      <c r="F4" s="83"/>
      <c r="G4" s="83"/>
      <c r="H4" s="83"/>
      <c r="I4" s="83"/>
      <c r="J4" s="83"/>
      <c r="K4" s="83"/>
      <c r="L4" s="83"/>
      <c r="M4" s="83"/>
    </row>
    <row r="5" spans="1:13" x14ac:dyDescent="0.35">
      <c r="A5" s="3" t="s">
        <v>13</v>
      </c>
      <c r="B5" s="83" t="s">
        <v>14</v>
      </c>
      <c r="C5" s="83"/>
      <c r="D5" s="83"/>
      <c r="E5" s="83"/>
      <c r="F5" s="83"/>
      <c r="G5" s="83"/>
      <c r="H5" s="83"/>
      <c r="I5" s="83"/>
      <c r="J5" s="83"/>
      <c r="K5" s="83"/>
      <c r="L5" s="83"/>
      <c r="M5" s="83"/>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24">
        <v>103</v>
      </c>
      <c r="C9" s="24">
        <v>86</v>
      </c>
      <c r="D9" s="24">
        <v>159</v>
      </c>
      <c r="E9" s="24">
        <v>112</v>
      </c>
      <c r="F9" s="24">
        <v>164</v>
      </c>
      <c r="G9" s="25">
        <v>178</v>
      </c>
    </row>
    <row r="10" spans="1:13" x14ac:dyDescent="0.35">
      <c r="A10" s="13" t="s">
        <v>16</v>
      </c>
      <c r="B10" s="28">
        <v>23</v>
      </c>
      <c r="C10" s="28">
        <v>24</v>
      </c>
      <c r="D10" s="28">
        <v>60</v>
      </c>
      <c r="E10" s="28">
        <v>31</v>
      </c>
      <c r="F10" s="28">
        <v>50</v>
      </c>
      <c r="G10" s="29">
        <v>65</v>
      </c>
    </row>
    <row r="11" spans="1:13" ht="15" thickBot="1" x14ac:dyDescent="0.4">
      <c r="A11" s="2" t="s">
        <v>21</v>
      </c>
      <c r="B11" s="6">
        <v>80</v>
      </c>
      <c r="C11" s="6">
        <v>62</v>
      </c>
      <c r="D11" s="6">
        <v>99</v>
      </c>
      <c r="E11" s="6">
        <v>81</v>
      </c>
      <c r="F11" s="6">
        <v>114</v>
      </c>
      <c r="G11" s="7">
        <v>113</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D7624-BA2F-4C41-A5C0-D3D9A300C85C}">
  <sheetPr codeName="Sheet8"/>
  <dimension ref="A1:M13"/>
  <sheetViews>
    <sheetView showGridLines="0" zoomScaleNormal="100" workbookViewId="0">
      <selection activeCell="A13" sqref="A13"/>
    </sheetView>
  </sheetViews>
  <sheetFormatPr defaultRowHeight="14.5" x14ac:dyDescent="0.35"/>
  <cols>
    <col min="1" max="1" width="11.26953125" customWidth="1"/>
    <col min="2" max="7" width="10.90625" bestFit="1" customWidth="1"/>
  </cols>
  <sheetData>
    <row r="1" spans="1:13" s="82" customFormat="1" ht="21" x14ac:dyDescent="0.5">
      <c r="A1" s="82" t="s">
        <v>42</v>
      </c>
    </row>
    <row r="3" spans="1:13" x14ac:dyDescent="0.35">
      <c r="A3" s="3" t="s">
        <v>4</v>
      </c>
      <c r="B3" s="83" t="s">
        <v>90</v>
      </c>
      <c r="C3" s="83"/>
      <c r="D3" s="83"/>
      <c r="E3" s="83"/>
      <c r="F3" s="83"/>
      <c r="G3" s="83"/>
      <c r="H3" s="83"/>
      <c r="I3" s="83"/>
      <c r="J3" s="83"/>
      <c r="K3" s="83"/>
      <c r="L3" s="83"/>
      <c r="M3" s="83"/>
    </row>
    <row r="4" spans="1:13" ht="32" customHeight="1" x14ac:dyDescent="0.35">
      <c r="A4" s="14" t="s">
        <v>12</v>
      </c>
      <c r="B4" s="83" t="s">
        <v>69</v>
      </c>
      <c r="C4" s="83"/>
      <c r="D4" s="83"/>
      <c r="E4" s="83"/>
      <c r="F4" s="83"/>
      <c r="G4" s="83"/>
      <c r="H4" s="83"/>
      <c r="I4" s="83"/>
      <c r="J4" s="83"/>
      <c r="K4" s="83"/>
      <c r="L4" s="83"/>
      <c r="M4" s="83"/>
    </row>
    <row r="5" spans="1:13" x14ac:dyDescent="0.35">
      <c r="A5" s="3" t="s">
        <v>13</v>
      </c>
      <c r="B5" s="83" t="s">
        <v>14</v>
      </c>
      <c r="C5" s="83"/>
      <c r="D5" s="83"/>
      <c r="E5" s="83"/>
      <c r="F5" s="83"/>
      <c r="G5" s="83"/>
      <c r="H5" s="83"/>
      <c r="I5" s="83"/>
      <c r="J5" s="83"/>
      <c r="K5" s="83"/>
      <c r="L5" s="83"/>
      <c r="M5" s="83"/>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21">
        <v>3.6</v>
      </c>
      <c r="C9" s="21">
        <v>3</v>
      </c>
      <c r="D9" s="21">
        <v>5.7</v>
      </c>
      <c r="E9" s="21">
        <v>4</v>
      </c>
      <c r="F9" s="86"/>
      <c r="G9" s="87"/>
    </row>
    <row r="10" spans="1:13" x14ac:dyDescent="0.35">
      <c r="A10" s="13" t="s">
        <v>16</v>
      </c>
      <c r="B10" s="23">
        <v>1.6</v>
      </c>
      <c r="C10" s="23">
        <v>1.7</v>
      </c>
      <c r="D10" s="23">
        <v>4.3</v>
      </c>
      <c r="E10" s="23">
        <v>2.2999999999999998</v>
      </c>
      <c r="F10" s="90"/>
      <c r="G10" s="91"/>
    </row>
    <row r="11" spans="1:13" ht="15" thickBot="1" x14ac:dyDescent="0.4">
      <c r="A11" s="2" t="s">
        <v>21</v>
      </c>
      <c r="B11" s="12">
        <v>5.6</v>
      </c>
      <c r="C11" s="12">
        <v>4.4000000000000004</v>
      </c>
      <c r="D11" s="12">
        <v>7</v>
      </c>
      <c r="E11" s="12">
        <v>5.8</v>
      </c>
      <c r="F11" s="92"/>
      <c r="G11" s="93"/>
    </row>
    <row r="12" spans="1:13" ht="15" thickTop="1" x14ac:dyDescent="0.35"/>
    <row r="13" spans="1:13" x14ac:dyDescent="0.35">
      <c r="A13" s="3" t="s">
        <v>102</v>
      </c>
    </row>
  </sheetData>
  <mergeCells count="4">
    <mergeCell ref="A1:XFD1"/>
    <mergeCell ref="B4:M4"/>
    <mergeCell ref="B3:M3"/>
    <mergeCell ref="B5:M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9191A-E08E-4ED7-8DCB-68D4914D431C}">
  <sheetPr codeName="Sheet9"/>
  <dimension ref="A1:M12"/>
  <sheetViews>
    <sheetView showGridLines="0" zoomScaleNormal="100" workbookViewId="0">
      <selection activeCell="B8" sqref="B8:G11"/>
    </sheetView>
  </sheetViews>
  <sheetFormatPr defaultRowHeight="14.5" x14ac:dyDescent="0.35"/>
  <cols>
    <col min="1" max="1" width="11.26953125" customWidth="1"/>
    <col min="2" max="7" width="10.90625" bestFit="1" customWidth="1"/>
  </cols>
  <sheetData>
    <row r="1" spans="1:13" s="82" customFormat="1" ht="21" x14ac:dyDescent="0.5">
      <c r="A1" s="82" t="s">
        <v>22</v>
      </c>
    </row>
    <row r="3" spans="1:13" x14ac:dyDescent="0.35">
      <c r="A3" s="3" t="s">
        <v>4</v>
      </c>
      <c r="B3" s="83" t="s">
        <v>41</v>
      </c>
      <c r="C3" s="83"/>
      <c r="D3" s="83"/>
      <c r="E3" s="83"/>
      <c r="F3" s="83"/>
      <c r="G3" s="83"/>
      <c r="H3" s="83"/>
      <c r="I3" s="83"/>
      <c r="J3" s="83"/>
      <c r="K3" s="83"/>
      <c r="L3" s="83"/>
      <c r="M3" s="83"/>
    </row>
    <row r="4" spans="1:13" x14ac:dyDescent="0.35">
      <c r="A4" s="14" t="s">
        <v>12</v>
      </c>
      <c r="B4" s="83" t="s">
        <v>43</v>
      </c>
      <c r="C4" s="83"/>
      <c r="D4" s="83"/>
      <c r="E4" s="83"/>
      <c r="F4" s="83"/>
      <c r="G4" s="83"/>
      <c r="H4" s="83"/>
      <c r="I4" s="83"/>
      <c r="J4" s="83"/>
      <c r="K4" s="83"/>
      <c r="L4" s="83"/>
      <c r="M4" s="83"/>
    </row>
    <row r="5" spans="1:13" x14ac:dyDescent="0.35">
      <c r="A5" s="3" t="s">
        <v>13</v>
      </c>
      <c r="B5" s="83" t="s">
        <v>14</v>
      </c>
      <c r="C5" s="83"/>
      <c r="D5" s="83"/>
      <c r="E5" s="83"/>
      <c r="F5" s="83"/>
      <c r="G5" s="83"/>
      <c r="H5" s="83"/>
      <c r="I5" s="83"/>
      <c r="J5" s="83"/>
      <c r="K5" s="83"/>
      <c r="L5" s="83"/>
      <c r="M5" s="83"/>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24">
        <v>67</v>
      </c>
      <c r="C9" s="24">
        <v>58</v>
      </c>
      <c r="D9" s="24">
        <v>112</v>
      </c>
      <c r="E9" s="24">
        <v>74</v>
      </c>
      <c r="F9" s="24">
        <v>109</v>
      </c>
      <c r="G9" s="25">
        <v>96</v>
      </c>
    </row>
    <row r="10" spans="1:13" x14ac:dyDescent="0.35">
      <c r="A10" s="13" t="s">
        <v>16</v>
      </c>
      <c r="B10" s="28">
        <v>21</v>
      </c>
      <c r="C10" s="28">
        <v>23</v>
      </c>
      <c r="D10" s="28">
        <v>60</v>
      </c>
      <c r="E10" s="28">
        <v>26</v>
      </c>
      <c r="F10" s="28">
        <v>42</v>
      </c>
      <c r="G10" s="29">
        <v>47</v>
      </c>
    </row>
    <row r="11" spans="1:13" ht="15" thickBot="1" x14ac:dyDescent="0.4">
      <c r="A11" s="2" t="s">
        <v>21</v>
      </c>
      <c r="B11" s="6">
        <v>46</v>
      </c>
      <c r="C11" s="6">
        <v>35</v>
      </c>
      <c r="D11" s="6">
        <v>52</v>
      </c>
      <c r="E11" s="6">
        <v>48</v>
      </c>
      <c r="F11" s="6">
        <v>67</v>
      </c>
      <c r="G11" s="7">
        <v>49</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4C9DA-0734-446C-8686-12694902B7DC}">
  <sheetPr codeName="Sheet10"/>
  <dimension ref="A1:M12"/>
  <sheetViews>
    <sheetView showGridLines="0" zoomScaleNormal="100" workbookViewId="0">
      <selection activeCell="B8" sqref="B8"/>
    </sheetView>
  </sheetViews>
  <sheetFormatPr defaultRowHeight="14.5" x14ac:dyDescent="0.35"/>
  <cols>
    <col min="1" max="1" width="11.26953125" customWidth="1"/>
    <col min="2" max="7" width="10.90625" bestFit="1" customWidth="1"/>
  </cols>
  <sheetData>
    <row r="1" spans="1:13" s="82" customFormat="1" ht="21" x14ac:dyDescent="0.5">
      <c r="A1" s="82" t="s">
        <v>32</v>
      </c>
    </row>
    <row r="3" spans="1:13" x14ac:dyDescent="0.35">
      <c r="A3" s="3" t="s">
        <v>4</v>
      </c>
      <c r="B3" s="83" t="s">
        <v>90</v>
      </c>
      <c r="C3" s="83"/>
      <c r="D3" s="83"/>
      <c r="E3" s="83"/>
      <c r="F3" s="83"/>
      <c r="G3" s="83"/>
      <c r="H3" s="83"/>
      <c r="I3" s="83"/>
      <c r="J3" s="83"/>
      <c r="K3" s="83"/>
      <c r="L3" s="83"/>
      <c r="M3" s="83"/>
    </row>
    <row r="4" spans="1:13" ht="29" customHeight="1" x14ac:dyDescent="0.35">
      <c r="A4" s="14" t="s">
        <v>12</v>
      </c>
      <c r="B4" s="83" t="s">
        <v>44</v>
      </c>
      <c r="C4" s="83"/>
      <c r="D4" s="83"/>
      <c r="E4" s="83"/>
      <c r="F4" s="83"/>
      <c r="G4" s="83"/>
      <c r="H4" s="83"/>
      <c r="I4" s="83"/>
      <c r="J4" s="83"/>
      <c r="K4" s="83"/>
      <c r="L4" s="83"/>
      <c r="M4" s="83"/>
    </row>
    <row r="5" spans="1:13" x14ac:dyDescent="0.35">
      <c r="A5" s="3" t="s">
        <v>13</v>
      </c>
      <c r="B5" s="83" t="s">
        <v>20</v>
      </c>
      <c r="C5" s="83"/>
      <c r="D5" s="83"/>
      <c r="E5" s="83"/>
      <c r="F5" s="83"/>
      <c r="G5" s="83"/>
      <c r="H5" s="83"/>
      <c r="I5" s="83"/>
      <c r="J5" s="83"/>
      <c r="K5" s="83"/>
      <c r="L5" s="83"/>
      <c r="M5" s="83"/>
    </row>
    <row r="7" spans="1:13" ht="15" thickBot="1" x14ac:dyDescent="0.4"/>
    <row r="8" spans="1:13" ht="19.5" thickTop="1" thickBot="1" x14ac:dyDescent="0.5">
      <c r="A8" s="17"/>
      <c r="B8" s="18">
        <v>2019</v>
      </c>
      <c r="C8" s="18">
        <v>2020</v>
      </c>
      <c r="D8" s="18">
        <v>2021</v>
      </c>
      <c r="E8" s="18">
        <v>2022</v>
      </c>
      <c r="F8" s="18">
        <v>2023</v>
      </c>
      <c r="G8" s="18">
        <v>2024</v>
      </c>
    </row>
    <row r="9" spans="1:13" ht="15" thickTop="1" x14ac:dyDescent="0.35">
      <c r="A9" s="19" t="s">
        <v>0</v>
      </c>
      <c r="B9" s="30">
        <f>(65.0485436893204) / 100</f>
        <v>0.65048543689320393</v>
      </c>
      <c r="C9" s="30">
        <f>(67.4418604651163) / 100</f>
        <v>0.6744186046511631</v>
      </c>
      <c r="D9" s="30">
        <v>0.70440251572326995</v>
      </c>
      <c r="E9" s="30">
        <v>0.66100000000000003</v>
      </c>
      <c r="F9" s="30">
        <v>0.66500000000000004</v>
      </c>
      <c r="G9" s="31">
        <v>0.5393258426966292</v>
      </c>
    </row>
    <row r="10" spans="1:13" x14ac:dyDescent="0.35">
      <c r="A10" s="13" t="s">
        <v>16</v>
      </c>
      <c r="B10" s="36">
        <f>(91.304347826087) / 100</f>
        <v>0.91304347826086996</v>
      </c>
      <c r="C10" s="36">
        <f>(95.8333333333333) / 100</f>
        <v>0.95833333333333304</v>
      </c>
      <c r="D10" s="36">
        <v>1</v>
      </c>
      <c r="E10" s="36">
        <v>0.83899999999999997</v>
      </c>
      <c r="F10" s="36">
        <v>0.84</v>
      </c>
      <c r="G10" s="37">
        <v>0.72307692307692306</v>
      </c>
    </row>
    <row r="11" spans="1:13" ht="15" thickBot="1" x14ac:dyDescent="0.4">
      <c r="A11" s="2" t="s">
        <v>21</v>
      </c>
      <c r="B11" s="38">
        <f>(57.5) / 100</f>
        <v>0.57499999999999996</v>
      </c>
      <c r="C11" s="38">
        <f>(56.4516129032258) / 100</f>
        <v>0.56451612903225801</v>
      </c>
      <c r="D11" s="38">
        <v>0.52525252525252497</v>
      </c>
      <c r="E11" s="38">
        <v>0.59299999999999997</v>
      </c>
      <c r="F11" s="38">
        <v>0.58799999999999997</v>
      </c>
      <c r="G11" s="39">
        <v>0.4336283185840708</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Summary</vt:lpstr>
      <vt:lpstr>Indicator_1</vt:lpstr>
      <vt:lpstr>Indicator_2</vt:lpstr>
      <vt:lpstr>Indicator_3</vt:lpstr>
      <vt:lpstr>Indicator_4</vt:lpstr>
      <vt:lpstr>Indicator_5</vt:lpstr>
      <vt:lpstr>Indicator_6</vt:lpstr>
      <vt:lpstr>Indicator_7</vt:lpstr>
      <vt:lpstr>Indicator_8</vt:lpstr>
      <vt:lpstr>Indicator_9</vt:lpstr>
      <vt:lpstr>Indicator_10</vt:lpstr>
      <vt:lpstr>Indicator_11</vt:lpstr>
      <vt:lpstr>Indicator_12</vt:lpstr>
      <vt:lpstr>Indicator_13</vt:lpstr>
      <vt:lpstr>Indicator_14</vt:lpstr>
      <vt:lpstr>Indicator_15</vt:lpstr>
      <vt:lpstr>Indicator_16</vt:lpstr>
      <vt:lpstr>Indicator_17</vt:lpstr>
      <vt:lpstr>Indicator_18</vt:lpstr>
      <vt:lpstr>Indicator_19</vt:lpstr>
      <vt:lpstr>Indicator_20</vt:lpstr>
      <vt:lpstr>Indicator_21</vt:lpstr>
      <vt:lpstr>Indicator_22</vt:lpstr>
      <vt:lpstr>Indicator_23</vt:lpstr>
      <vt:lpstr>Indicator_24</vt:lpstr>
      <vt:lpstr>Indicator_25</vt:lpstr>
      <vt:lpstr>Indicator_26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Elda Denaj</dc:creator>
  <cp:lastModifiedBy>Flavia Djaloshi</cp:lastModifiedBy>
  <dcterms:created xsi:type="dcterms:W3CDTF">2006-09-16T00:00:00Z</dcterms:created>
  <dcterms:modified xsi:type="dcterms:W3CDTF">2026-05-28T19:48:16Z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2022-10-02T17:36:22Z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3ad4e718-8cbd-4a35-9382-bd0f3b0fd195</vt:lpwstr>
  </property>
  <property fmtid="{D5CDD505-2E9C-101B-9397-08002B2CF9AE}" pid="8" name="MSIP_Label_ea60d57e-af5b-4752-ac57-3e4f28ca11dc_ContentBits">
    <vt:lpwstr>0</vt:lpwstr>
  </property>
</Properties>
</file>