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cef-my.sharepoint.com/personal/fdjaloshi_unicef_org/Documents/Desktop/Erik/UNICEF/Dashboard_new/Shqip/"/>
    </mc:Choice>
  </mc:AlternateContent>
  <xr:revisionPtr revIDLastSave="36" documentId="13_ncr:1_{5BC4F86B-B755-4612-9460-FB7B377B59C2}" xr6:coauthVersionLast="47" xr6:coauthVersionMax="47" xr10:uidLastSave="{41318560-D424-43B9-909F-D408DE2AD219}"/>
  <bookViews>
    <workbookView xWindow="-110" yWindow="-110" windowWidth="19420" windowHeight="10300" xr2:uid="{00000000-000D-0000-FFFF-FFFF00000000}"/>
  </bookViews>
  <sheets>
    <sheet name="Përmbledhje" sheetId="4" r:id="rId1"/>
    <sheet name="Indikatori_1" sheetId="5" r:id="rId2"/>
    <sheet name="Indikatori_2" sheetId="34" r:id="rId3"/>
    <sheet name="Indikatori_3" sheetId="35" r:id="rId4"/>
    <sheet name="Indikatori_4" sheetId="37" r:id="rId5"/>
    <sheet name="Indikatori_5" sheetId="38" r:id="rId6"/>
    <sheet name="Indikatori_6" sheetId="39" r:id="rId7"/>
    <sheet name="Indikatori_7" sheetId="40" r:id="rId8"/>
    <sheet name="Indikatori_8" sheetId="41" r:id="rId9"/>
    <sheet name="Indikatori_9" sheetId="42" r:id="rId10"/>
    <sheet name="Indikatori_10" sheetId="43" r:id="rId11"/>
    <sheet name="Indikatori_11" sheetId="44" r:id="rId12"/>
    <sheet name="Indikatori_12" sheetId="45" r:id="rId13"/>
    <sheet name="Indikatori_13" sheetId="46" r:id="rId14"/>
    <sheet name="Indikatori_14" sheetId="47" r:id="rId15"/>
    <sheet name="Indikatori_15" sheetId="48" r:id="rId16"/>
    <sheet name="Indikatori_16" sheetId="49" r:id="rId17"/>
    <sheet name="Indikatori_17" sheetId="50" r:id="rId18"/>
    <sheet name="Indikatori_18" sheetId="51" r:id="rId19"/>
    <sheet name="Indikatori_19" sheetId="52" r:id="rId20"/>
    <sheet name="Indikatori_20" sheetId="53" r:id="rId21"/>
    <sheet name="Indikatori_21" sheetId="54" r:id="rId22"/>
    <sheet name="Indikatori_22" sheetId="55" r:id="rId23"/>
    <sheet name="Indikatori_23" sheetId="56" r:id="rId24"/>
    <sheet name="Indikatori_24" sheetId="57" r:id="rId25"/>
    <sheet name="Indikatori_25" sheetId="58" r:id="rId26"/>
    <sheet name="Indikatori_26" sheetId="59" r:id="rId2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58" l="1"/>
  <c r="B11" i="58"/>
  <c r="C10" i="58"/>
  <c r="B10" i="58"/>
  <c r="C9" i="58"/>
  <c r="B9" i="58"/>
  <c r="C11" i="50"/>
  <c r="B11" i="50"/>
  <c r="C10" i="50"/>
  <c r="B10" i="50"/>
  <c r="C9" i="50"/>
  <c r="B9" i="50"/>
  <c r="C17" i="47"/>
  <c r="B17" i="47"/>
  <c r="C16" i="47"/>
  <c r="B16" i="47"/>
  <c r="C15" i="47"/>
  <c r="B15" i="47"/>
  <c r="C14" i="47"/>
  <c r="B14" i="47"/>
  <c r="C13" i="47"/>
  <c r="B13" i="47"/>
  <c r="C12" i="47"/>
  <c r="B12" i="47"/>
  <c r="C11" i="47"/>
  <c r="B11" i="47"/>
  <c r="C10" i="47"/>
  <c r="B10" i="47"/>
  <c r="C9" i="47"/>
  <c r="B9" i="47"/>
  <c r="C11" i="44"/>
  <c r="B11" i="44"/>
  <c r="C10" i="44"/>
  <c r="B10" i="44"/>
  <c r="C9" i="44"/>
  <c r="B9" i="44"/>
  <c r="C11" i="41"/>
  <c r="B11" i="41"/>
  <c r="C10" i="41"/>
  <c r="B10" i="41"/>
  <c r="C9" i="41"/>
  <c r="B9" i="41"/>
  <c r="C17" i="34"/>
  <c r="B17" i="34"/>
  <c r="C16" i="34"/>
  <c r="B16" i="34"/>
  <c r="C15" i="34"/>
  <c r="B15" i="34"/>
  <c r="C14" i="34"/>
  <c r="B14" i="34"/>
  <c r="C13" i="34"/>
  <c r="B13" i="34"/>
  <c r="C12" i="34"/>
  <c r="B12" i="34"/>
  <c r="C11" i="34"/>
  <c r="B11" i="34"/>
  <c r="C10" i="34"/>
  <c r="B10" i="34"/>
  <c r="C9" i="34"/>
  <c r="B9" i="34"/>
  <c r="C29" i="4"/>
  <c r="B29" i="4"/>
  <c r="C28" i="4"/>
  <c r="B28" i="4"/>
  <c r="C27" i="4"/>
  <c r="B27" i="4"/>
  <c r="C26" i="4"/>
  <c r="B26" i="4"/>
  <c r="C25" i="4"/>
  <c r="B25" i="4"/>
  <c r="C24" i="4"/>
  <c r="B24" i="4"/>
  <c r="C23" i="4"/>
  <c r="B23" i="4"/>
  <c r="C22" i="4"/>
  <c r="B22" i="4"/>
  <c r="C21" i="4"/>
  <c r="B21" i="4"/>
  <c r="C20" i="4"/>
  <c r="B20" i="4"/>
  <c r="C19" i="4"/>
  <c r="B19" i="4"/>
  <c r="C18" i="4"/>
  <c r="B18" i="4"/>
  <c r="C17" i="4"/>
  <c r="B17" i="4"/>
  <c r="C16" i="4"/>
  <c r="B16" i="4"/>
  <c r="C15" i="4"/>
  <c r="B15" i="4"/>
  <c r="C14" i="4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C6" i="4"/>
  <c r="B6" i="4"/>
  <c r="C5" i="4"/>
  <c r="B5" i="4"/>
  <c r="C4" i="4"/>
  <c r="B4" i="4"/>
</calcChain>
</file>

<file path=xl/sharedStrings.xml><?xml version="1.0" encoding="utf-8"?>
<sst xmlns="http://schemas.openxmlformats.org/spreadsheetml/2006/main" count="338" uniqueCount="99">
  <si>
    <t>Burimi</t>
  </si>
  <si>
    <t>Disagregimi</t>
  </si>
  <si>
    <t>Total</t>
  </si>
  <si>
    <t>Meshkuj</t>
  </si>
  <si>
    <t>Femra</t>
  </si>
  <si>
    <t>Njësia</t>
  </si>
  <si>
    <t>Numër</t>
  </si>
  <si>
    <t>Përqindje</t>
  </si>
  <si>
    <t>Indikatori</t>
  </si>
  <si>
    <t>Viti i fundit</t>
  </si>
  <si>
    <t>Nr</t>
  </si>
  <si>
    <t>Gjinia</t>
  </si>
  <si>
    <t>Shpjegimi</t>
  </si>
  <si>
    <t>-</t>
  </si>
  <si>
    <t>Drejtësia</t>
  </si>
  <si>
    <t>Fëmijë 0-17 vjeç viktima (të dëmtuar) të veprave penale, gjatë vitit</t>
  </si>
  <si>
    <t>Drejtoria e Përgjithshme e Policisë</t>
  </si>
  <si>
    <t>Numri i fëmijëve 0-17 vjeç që janë viktima (të dëmtuar) të veprave penale të regjistruar në polici, gjatë vitit.</t>
  </si>
  <si>
    <t>0-17 vjeç</t>
  </si>
  <si>
    <t>nën 14 vjeç</t>
  </si>
  <si>
    <t>14-17 vjeç</t>
  </si>
  <si>
    <t xml:space="preserve">Gjinia / Mosha </t>
  </si>
  <si>
    <t>Raporti i fëmijëve 0 -17 vjeç viktima të veprave penale, ndaj totalit të të dëmtuarve, gjatë vitit</t>
  </si>
  <si>
    <t>Raporti i fëmijëve 0-17 vjeç viktima (të dëmtuar) të veprave penale të regjistruara në polici ndaj totalit të personave të dëmtuar, gjatë vitit.</t>
  </si>
  <si>
    <t>Numri i fëmijëve 0-17 vjeç që janë viktima (të dëmtuar) të veprave penale të regjistruar në polici gjatë vitit, në raport me 100,000 popullatë mesatare përkatëse.</t>
  </si>
  <si>
    <t xml:space="preserve">Drejtoria e Përgjithshme e Policisë </t>
  </si>
  <si>
    <t>Viktima dhe viktima të mundshme të traﬁkimit të qenieve njerëzore, gjatë vitit</t>
  </si>
  <si>
    <t xml:space="preserve">Numri total i viktimave dhe viktimave të mundshme të traﬁkimit të qenieve njerëzore te identifikuar, gjatë vitit. </t>
  </si>
  <si>
    <t>Fëmijë 0-17 vjeç viktima dhe viktima të mundshme të traﬁkimit të qenieve njerëzore, gjatë vitit</t>
  </si>
  <si>
    <t xml:space="preserve">Numri i fëmijëve 0-17 vjeç viktima dhe viktima të mundshme të traﬁkimit të qenieve njerëzore, gjatë vitit. </t>
  </si>
  <si>
    <t>Raporti i fëmijëve 0-17 vjeç viktima dhe viktima të mundshme të traﬁkimit të qenieve njerëzore, gjatë vitit</t>
  </si>
  <si>
    <t xml:space="preserve">Raporti i fëmijëve 0-17 vjeç viktima dhe viktima të mundshme të traﬁkimit të qenieve njerëzore ndaj totalit të personave viktima dhe viktima të mundshme të traﬁkimit të qenieve njerëzore, gjatë vitit. </t>
  </si>
  <si>
    <t>Numri i fëmijëve nën 17 vjeç të dyshuar për kryerjen e veprave penale të regjistruar në polici, gjatë vitit.</t>
  </si>
  <si>
    <t>Raporti i fëmijëve nën 17 vjeç të dyshuar për kryerjen e veprave penale, të regjistruar në polici gjatë vitit ndaj totalit të personave të dyshuar, gjatë vitit.</t>
  </si>
  <si>
    <t>Numri i fëmijëve nën 17 vjeç të dyshuar për kryerjen e veprave penale, të regjistruar në polici gjatë vitit, në raport me 100.000 popullatë mesatare përkatëse (9 -17 vjeç).</t>
  </si>
  <si>
    <t>Fëmijë 14-17 vjeç në institucionet e privimit të lirisë, në fund të vitit</t>
  </si>
  <si>
    <t>Drejtoria e Përgjithshme e Burgjeve</t>
  </si>
  <si>
    <t>Numri i fëmijëve 14-17 vjeç në paraburgim dhe të dënuar me burgim, në fund të vitit.</t>
  </si>
  <si>
    <t>Të dënuar</t>
  </si>
  <si>
    <t>Të paraburgosur</t>
  </si>
  <si>
    <t>Raporti i fëmijëve 14-17 vjeç në institucionet e privimit të lirisë, në fund të vitit</t>
  </si>
  <si>
    <t>Raporti i fëmijëve 14-17 vjeç në institucionet e privimit të lirisë në raport me popullatën total në këto institucione, në fund të vitit.</t>
  </si>
  <si>
    <t>Numri i fëmijëve 14-17 vjeç në paraburgim dhe të dënuar me burgim në fund të vitit, në raport me 100,000 popullatë përkatëse të 1 janarit të vitit pasardhës.</t>
  </si>
  <si>
    <t>Raporti i fëmijëve 14-17 vjeç në paraburgim në institucionet e privimit të lirisë, në fund të vitit</t>
  </si>
  <si>
    <t>Raporti i të rinjve 14-24 vjeç në paraburgim në institucionet e privimit të lirisë, në fund të vitit</t>
  </si>
  <si>
    <t>Recidivizmi i fëmijëve 14 - 17 vjeç ne paraburgim, gjatë vitit</t>
  </si>
  <si>
    <t>Numri i fëmijëve 14- 17 vjeç përsëritës të veprave penale në paraburgim, gjatë vitit.</t>
  </si>
  <si>
    <t>Fëmijë 14-17 vjeç rasti i të cilëve është trajtuar nga gjykatat e shkallës së parë, gjatë vitit</t>
  </si>
  <si>
    <t>Ministria e Drejtësisë</t>
  </si>
  <si>
    <t>Numri i fëmijëve 14-17 vjeç, rasti i të cilëve është trajtuar nga gjykatat e shkallës së parë, për vepër penale/kundravajtje, gjatë vitit.</t>
  </si>
  <si>
    <t>Krime</t>
  </si>
  <si>
    <t>Kundravajtje</t>
  </si>
  <si>
    <t>Fëmijë 14-17 vjeç të dënuar me masa alternative nga gjykatat e shkallës së parë, gjatë vitit</t>
  </si>
  <si>
    <t>Fëmijë 14-17 vjeç të dënuar me heqje të lirisë nga gjykatat e shkallës së parë, gjatë vitit</t>
  </si>
  <si>
    <t>Numri i fëmijëve 14-17 vjeç të dënuar me heqje të lirisë nga gjykatat e shkallës së parë për vepër penale/kundravajtje, gjatë vitit.</t>
  </si>
  <si>
    <t>Raporti fëmijëve 14-17 vjeç të dënuar me masa alternative ndaj totalit të fëmijëve, të dënuar nga gjykatat e shkallës së parë, gjatë vitit</t>
  </si>
  <si>
    <t>INSTAT/Ministria e Drejtësisë</t>
  </si>
  <si>
    <t>Raporti i fëmijëve 14-17 vjeç të dënuar me masa alternative nga gjykatat e shkallës së parë për vepër penale/kundravajtje, gjatë vitit ndaj numrit total te fëmijëve 14-17 vjeç të dënuar nga gjykatat e shkallës së parë për vepër penale/kundravajtje, gjatë vitit.</t>
  </si>
  <si>
    <t>Raporti i fëmijëve 14-17 vjeç të dënuar me heqje të lirisë ndaj totalit të fëmijëve, të dënuar nga gjykatat e shkallës së parë, gjatë vitit</t>
  </si>
  <si>
    <t>Raporti i fëmijëve 14-17 vjeç të dënuar me heqje të lirisë nga gjykatat e shkallës së parë për vepër penale/kundravajtje gjatë vitit, ndaj numrit total të fëmijëve 14-17 vjeç të dënuar nga gjykatat e shkallës së parë për vepër penale/kundravajtje, gjatë vitit.</t>
  </si>
  <si>
    <t>Fëmijë 14-17 vjeç të pandehur për vepra penale, të regjistruar në prokurori, gjatë vitit</t>
  </si>
  <si>
    <t>Prokuroria</t>
  </si>
  <si>
    <t>Numri i fëmijëve 14-17 vjeç të akuzuar për vepra penale, të regjistruar në prokurori, gjatë vitit.</t>
  </si>
  <si>
    <t>Raporti i fëmijëve 14-17 vjeç të akuzuar për vepra penale, ndaj totalit të personave të regjistruar në prokurori, gjatë vitit</t>
  </si>
  <si>
    <t>INSTAT/ Prokuroria</t>
  </si>
  <si>
    <t>Numri i fëmijëve 14-17 vjeç të akuzuar për vepra penale ndaj totalit të personave të akuzuar të regjistruara në prokurori gjatë vitit.</t>
  </si>
  <si>
    <t>Mosha</t>
  </si>
  <si>
    <t>Gjinia / Dënimi</t>
  </si>
  <si>
    <t>Norma e fëmijëve 0-17 vjeç viktima (të dëmtuar) të veprave penale, gjatë vitit (për 100.000)</t>
  </si>
  <si>
    <t>Norma e fëmijëve 0-17 vjeç viktima të vrasjes me dashje, gjatë vitit (për 100.000)</t>
  </si>
  <si>
    <t>Norma e viktimave dhe viktimave të mundshme të traﬁkimit të qenieve njerëzore, gjatë vitit (për 100.000)</t>
  </si>
  <si>
    <t>Norma e fëmijëve 0-17 vjeç viktima dhe viktima të mundshme të traﬁkimit të qenieve njerëzore, gjatë vitit (për 100.000)</t>
  </si>
  <si>
    <t>Norma e fëmijëve 14-17 vjeç në institucionet e privimit të lirisë, në fund të vitit (për 100.000)</t>
  </si>
  <si>
    <t>Norma e fëmijëve 14-17 vjeç të pandehur për vepra penale të regjistruar në prokurori, gjatë vitit (për 100.000)</t>
  </si>
  <si>
    <t>Numri i fëmijëve 14-17 vjeç të akuzuar për vepra penale, të regjistruar në prokurori gjatë vitit, në raport me 100,000 popullatë mesatare përkatëse.</t>
  </si>
  <si>
    <t>Numri i fëmijëve 14-17 vjeç të dënuar me masa alternative nga gjykatat e shkallës së parë për vepër penale/kundravajtje, gjatë vitit. Përfshin: Dënimi me gjobë; Heqja e së drejtës të ushtrimit të një profesioni ose të një veprimtarie (Neni 39); Gjysmëliria (Neni 58); Qëndrimi në shtëpi (Neni 59/a); Detyrimi për kryerjen e një pune në interes publik (Neni 63); Përmbushja e detyrimeve të caktuara; Trajtimi i detyrueshëm - Masat mjekësore dhe edukuese (Neni 46).</t>
  </si>
  <si>
    <t xml:space="preserve">INSTAT / Drejtoria e Përgjithshme e Policisë </t>
  </si>
  <si>
    <t>INSTAT / Drejtoria e Përgjithshme e Burgjeve</t>
  </si>
  <si>
    <t>Ministria e Brendshme / Koordinatori Kombëtar Antitrafik</t>
  </si>
  <si>
    <t>INSTAT / Ministria e Brendshme / Koordinatori Kombëtar Antitrafik</t>
  </si>
  <si>
    <t>INSTAT/ Ministria e Brendshme / Koordinatori Kombëtar Antitrafik</t>
  </si>
  <si>
    <t>Krime / Kundravajtje</t>
  </si>
  <si>
    <t>Numri i fëmijëve 0-17 vjeç viktima (pasojë vdekje) të vrasjes me dashje gjatë vitit, në raport me 100,000 popullatë mesatare përkatëse. Indikator OZHQ 16.1.1.</t>
  </si>
  <si>
    <t>Numri total i viktimave dhe viktimave të mundshme të traﬁkimit të qenieve njerëzore gjatë vitit, në raport me 100,000 popullatë mesatare. Indikator OZHQ 16.2.2.</t>
  </si>
  <si>
    <t>Numri i fëmijëve 0-17 vjeç viktima dhe viktima të mundshme të traﬁkimit të qenieve njerëzore gjatë vitit, në raport me 100,000 popullatë mesatare përkatëse. Indikator OZHQ 16.2.2.</t>
  </si>
  <si>
    <t>Numri i fëmijëve 14- 17 vjeç në paraburgim ndaj totalit të popullatës të së njëjtës grupmoshë në institucionet e privimit të lirisë, në fund të vitit. Indikator OZHQ 16.3.2.</t>
  </si>
  <si>
    <t>Numri i të rinjve 14-24 vjeç në paraburgim ndaj totalit të popullatës të së njëjtës grupmoshë në institucionet e privimit të lirisë, në fund të vitit. Indikator OZHQ 16.3.2.</t>
  </si>
  <si>
    <t>Vlera speciale</t>
  </si>
  <si>
    <t>: Të dhëna konfidenciale</t>
  </si>
  <si>
    <t>Raporti i fëmijëve nën 18 vjeç të dyshuar për vepra penale, ndaj totalit të personave të dyshuar për vepra penale, gjatë vitit</t>
  </si>
  <si>
    <t>Norma e fëmijëve nën 18 vjeç të dyshuar për vepra penale, gjatë vitit (për 100.000)</t>
  </si>
  <si>
    <t>Fëmijë nën 18 vjeç të dyshuar për vepra penale, gjatë vitit</t>
  </si>
  <si>
    <t>Shënim: Mungon popullsia për të llogaritur këtë indikator</t>
  </si>
  <si>
    <t>9-17 vjeç</t>
  </si>
  <si>
    <t>9-14 vjeç</t>
  </si>
  <si>
    <r>
      <t xml:space="preserve">Shënim: Grupmosha e tretë duhet </t>
    </r>
    <r>
      <rPr>
        <b/>
        <i/>
        <sz val="11"/>
        <color theme="1"/>
        <rFont val="Calibri"/>
        <family val="2"/>
        <scheme val="minor"/>
      </rPr>
      <t>15-17 vjeç</t>
    </r>
    <r>
      <rPr>
        <i/>
        <sz val="11"/>
        <color theme="1"/>
        <rFont val="Calibri"/>
        <family val="2"/>
        <scheme val="minor"/>
      </rPr>
      <t xml:space="preserve"> sepse mosha 14 eshte perfshire ne grupmoshen 9-14</t>
    </r>
  </si>
  <si>
    <t>15-17 vjeç</t>
  </si>
  <si>
    <t>Shënim: Të dhënat nga Ministria e Drejtësisë, për vitin 2024, dërgohen në INSTAT në muajin tetor 2025</t>
  </si>
  <si>
    <t>Shënim: Grupmosha e përfshirë është 14-18 vjeç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</si>
</sst>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0.0%"/>
    <numFmt numFmtId="167" formatCode="_-* #,##0.0_-;\-* #,##0.0_-;_-* &quot;-&quot;??_-;_-@_-"/>
    <numFmt numFmtId="168" formatCode="0.0"/>
  </numFmts>
  <fonts count="15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sz val="8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</fills>
  <borders count="40">
    <border>
      <left/>
      <right/>
      <top/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dotted">
        <color auto="1"/>
      </bottom>
      <diagonal/>
    </border>
    <border>
      <left/>
      <right/>
      <top style="thick">
        <color auto="1"/>
      </top>
      <bottom style="dotted">
        <color auto="1"/>
      </bottom>
      <diagonal/>
    </border>
    <border>
      <left/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/>
      <top style="dotted">
        <color auto="1"/>
      </top>
      <bottom style="thick">
        <color auto="1"/>
      </bottom>
      <diagonal/>
    </border>
    <border>
      <left/>
      <right/>
      <top style="dotted">
        <color auto="1"/>
      </top>
      <bottom style="thick">
        <color auto="1"/>
      </bottom>
      <diagonal/>
    </border>
    <border>
      <left/>
      <right style="thick">
        <color auto="1"/>
      </right>
      <top style="dotted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ck">
        <color auto="1"/>
      </right>
      <top style="dotted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auto="1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/>
      <right style="medium">
        <color indexed="64"/>
      </right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/>
      <right style="medium">
        <color indexed="64"/>
      </right>
      <top style="dotted">
        <color auto="1"/>
      </top>
      <bottom style="medium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ck">
        <color auto="1"/>
      </top>
      <bottom style="medium">
        <color indexed="64"/>
      </bottom>
      <diagonal/>
    </border>
    <border>
      <left/>
      <right/>
      <top style="thick">
        <color auto="1"/>
      </top>
      <bottom style="medium">
        <color indexed="64"/>
      </bottom>
      <diagonal/>
    </border>
    <border>
      <left/>
      <right style="medium">
        <color indexed="64"/>
      </right>
      <top style="thick">
        <color auto="1"/>
      </top>
      <bottom style="medium">
        <color indexed="64"/>
      </bottom>
      <diagonal/>
    </border>
  </borders>
  <cellStyleXfs count="28">
    <xf numFmtId="0" fontId="0" fillId="0" borderId="0"/>
    <xf numFmtId="164" fontId="2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5" fillId="0" borderId="0" applyNumberFormat="0" applyBorder="0" applyAlignment="0"/>
    <xf numFmtId="9" fontId="3" fillId="0" borderId="0" applyFont="0" applyFill="0" applyBorder="0" applyAlignment="0" applyProtection="0"/>
    <xf numFmtId="0" fontId="5" fillId="0" borderId="0" applyNumberFormat="0" applyBorder="0" applyAlignment="0"/>
    <xf numFmtId="43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Border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3" fillId="0" borderId="0"/>
    <xf numFmtId="0" fontId="2" fillId="0" borderId="0"/>
    <xf numFmtId="0" fontId="5" fillId="0" borderId="0" applyNumberFormat="0" applyBorder="0" applyAlignment="0"/>
  </cellStyleXfs>
  <cellXfs count="134">
    <xf numFmtId="0" fontId="0" fillId="0" borderId="0" xfId="0"/>
    <xf numFmtId="0" fontId="0" fillId="0" borderId="9" xfId="0" applyBorder="1"/>
    <xf numFmtId="0" fontId="0" fillId="0" borderId="12" xfId="0" applyBorder="1"/>
    <xf numFmtId="0" fontId="12" fillId="0" borderId="0" xfId="0" applyFont="1"/>
    <xf numFmtId="165" fontId="0" fillId="0" borderId="10" xfId="1" applyNumberFormat="1" applyFont="1" applyBorder="1"/>
    <xf numFmtId="165" fontId="0" fillId="0" borderId="11" xfId="1" applyNumberFormat="1" applyFont="1" applyBorder="1"/>
    <xf numFmtId="165" fontId="0" fillId="0" borderId="13" xfId="1" applyNumberFormat="1" applyFont="1" applyBorder="1"/>
    <xf numFmtId="165" fontId="0" fillId="0" borderId="14" xfId="1" applyNumberFormat="1" applyFont="1" applyBorder="1"/>
    <xf numFmtId="0" fontId="0" fillId="0" borderId="15" xfId="0" applyBorder="1"/>
    <xf numFmtId="166" fontId="0" fillId="0" borderId="1" xfId="23" applyNumberFormat="1" applyFont="1" applyFill="1" applyBorder="1"/>
    <xf numFmtId="166" fontId="0" fillId="0" borderId="2" xfId="23" applyNumberFormat="1" applyFont="1" applyFill="1" applyBorder="1"/>
    <xf numFmtId="167" fontId="0" fillId="0" borderId="10" xfId="1" applyNumberFormat="1" applyFont="1" applyBorder="1"/>
    <xf numFmtId="167" fontId="0" fillId="0" borderId="13" xfId="1" applyNumberFormat="1" applyFont="1" applyBorder="1"/>
    <xf numFmtId="0" fontId="0" fillId="0" borderId="16" xfId="0" applyBorder="1"/>
    <xf numFmtId="0" fontId="12" fillId="0" borderId="0" xfId="0" applyFont="1" applyAlignment="1">
      <alignment horizontal="left" vertical="top"/>
    </xf>
    <xf numFmtId="0" fontId="11" fillId="2" borderId="3" xfId="0" applyFont="1" applyFill="1" applyBorder="1"/>
    <xf numFmtId="0" fontId="11" fillId="2" borderId="4" xfId="0" applyFont="1" applyFill="1" applyBorder="1"/>
    <xf numFmtId="0" fontId="11" fillId="2" borderId="5" xfId="0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0" fontId="0" fillId="3" borderId="6" xfId="0" applyFill="1" applyBorder="1"/>
    <xf numFmtId="0" fontId="0" fillId="3" borderId="9" xfId="0" applyFill="1" applyBorder="1"/>
    <xf numFmtId="167" fontId="0" fillId="3" borderId="7" xfId="1" applyNumberFormat="1" applyFont="1" applyFill="1" applyBorder="1"/>
    <xf numFmtId="167" fontId="0" fillId="3" borderId="10" xfId="1" applyNumberFormat="1" applyFont="1" applyFill="1" applyBorder="1"/>
    <xf numFmtId="167" fontId="0" fillId="0" borderId="17" xfId="1" applyNumberFormat="1" applyFont="1" applyBorder="1"/>
    <xf numFmtId="165" fontId="0" fillId="3" borderId="7" xfId="1" applyNumberFormat="1" applyFont="1" applyFill="1" applyBorder="1"/>
    <xf numFmtId="165" fontId="0" fillId="3" borderId="8" xfId="1" applyNumberFormat="1" applyFont="1" applyFill="1" applyBorder="1"/>
    <xf numFmtId="165" fontId="0" fillId="3" borderId="10" xfId="1" applyNumberFormat="1" applyFont="1" applyFill="1" applyBorder="1"/>
    <xf numFmtId="165" fontId="0" fillId="3" borderId="11" xfId="1" applyNumberFormat="1" applyFont="1" applyFill="1" applyBorder="1"/>
    <xf numFmtId="165" fontId="0" fillId="0" borderId="17" xfId="1" applyNumberFormat="1" applyFont="1" applyBorder="1"/>
    <xf numFmtId="165" fontId="0" fillId="0" borderId="18" xfId="1" applyNumberFormat="1" applyFont="1" applyBorder="1"/>
    <xf numFmtId="166" fontId="2" fillId="3" borderId="7" xfId="23" applyNumberFormat="1" applyFont="1" applyFill="1" applyBorder="1"/>
    <xf numFmtId="166" fontId="2" fillId="3" borderId="8" xfId="23" applyNumberFormat="1" applyFont="1" applyFill="1" applyBorder="1"/>
    <xf numFmtId="166" fontId="2" fillId="0" borderId="10" xfId="23" applyNumberFormat="1" applyFont="1" applyBorder="1"/>
    <xf numFmtId="166" fontId="2" fillId="0" borderId="11" xfId="23" applyNumberFormat="1" applyFont="1" applyBorder="1"/>
    <xf numFmtId="166" fontId="2" fillId="3" borderId="10" xfId="23" applyNumberFormat="1" applyFont="1" applyFill="1" applyBorder="1"/>
    <xf numFmtId="166" fontId="2" fillId="3" borderId="11" xfId="23" applyNumberFormat="1" applyFont="1" applyFill="1" applyBorder="1"/>
    <xf numFmtId="166" fontId="2" fillId="0" borderId="17" xfId="23" applyNumberFormat="1" applyFont="1" applyBorder="1"/>
    <xf numFmtId="166" fontId="2" fillId="0" borderId="18" xfId="23" applyNumberFormat="1" applyFont="1" applyBorder="1"/>
    <xf numFmtId="166" fontId="2" fillId="0" borderId="13" xfId="23" applyNumberFormat="1" applyFont="1" applyBorder="1"/>
    <xf numFmtId="166" fontId="2" fillId="0" borderId="14" xfId="23" applyNumberFormat="1" applyFont="1" applyBorder="1"/>
    <xf numFmtId="165" fontId="0" fillId="0" borderId="7" xfId="1" applyNumberFormat="1" applyFont="1" applyFill="1" applyBorder="1"/>
    <xf numFmtId="165" fontId="0" fillId="0" borderId="8" xfId="1" applyNumberFormat="1" applyFont="1" applyFill="1" applyBorder="1"/>
    <xf numFmtId="166" fontId="2" fillId="0" borderId="7" xfId="23" applyNumberFormat="1" applyFont="1" applyFill="1" applyBorder="1"/>
    <xf numFmtId="166" fontId="2" fillId="0" borderId="8" xfId="23" applyNumberFormat="1" applyFont="1" applyFill="1" applyBorder="1"/>
    <xf numFmtId="167" fontId="0" fillId="0" borderId="7" xfId="1" applyNumberFormat="1" applyFont="1" applyFill="1" applyBorder="1"/>
    <xf numFmtId="0" fontId="0" fillId="0" borderId="7" xfId="0" applyBorder="1" applyAlignment="1">
      <alignment vertical="top"/>
    </xf>
    <xf numFmtId="0" fontId="0" fillId="0" borderId="8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10" xfId="0" quotePrefix="1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7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0" fontId="6" fillId="0" borderId="10" xfId="24" applyBorder="1" applyAlignment="1">
      <alignment vertical="top" wrapText="1"/>
    </xf>
    <xf numFmtId="0" fontId="0" fillId="0" borderId="6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12" xfId="0" applyBorder="1" applyAlignment="1">
      <alignment vertical="top"/>
    </xf>
    <xf numFmtId="1" fontId="0" fillId="3" borderId="7" xfId="1" applyNumberFormat="1" applyFont="1" applyFill="1" applyBorder="1"/>
    <xf numFmtId="1" fontId="0" fillId="3" borderId="8" xfId="1" applyNumberFormat="1" applyFont="1" applyFill="1" applyBorder="1"/>
    <xf numFmtId="1" fontId="0" fillId="0" borderId="10" xfId="1" applyNumberFormat="1" applyFont="1" applyBorder="1"/>
    <xf numFmtId="1" fontId="0" fillId="0" borderId="11" xfId="1" applyNumberFormat="1" applyFont="1" applyBorder="1"/>
    <xf numFmtId="1" fontId="0" fillId="3" borderId="10" xfId="1" applyNumberFormat="1" applyFont="1" applyFill="1" applyBorder="1"/>
    <xf numFmtId="1" fontId="0" fillId="3" borderId="11" xfId="1" applyNumberFormat="1" applyFont="1" applyFill="1" applyBorder="1"/>
    <xf numFmtId="1" fontId="0" fillId="0" borderId="17" xfId="1" applyNumberFormat="1" applyFont="1" applyBorder="1"/>
    <xf numFmtId="1" fontId="0" fillId="0" borderId="18" xfId="1" applyNumberFormat="1" applyFont="1" applyBorder="1"/>
    <xf numFmtId="1" fontId="0" fillId="0" borderId="13" xfId="1" applyNumberFormat="1" applyFont="1" applyBorder="1"/>
    <xf numFmtId="1" fontId="0" fillId="0" borderId="14" xfId="1" applyNumberFormat="1" applyFont="1" applyBorder="1"/>
    <xf numFmtId="168" fontId="0" fillId="3" borderId="7" xfId="1" applyNumberFormat="1" applyFont="1" applyFill="1" applyBorder="1"/>
    <xf numFmtId="168" fontId="0" fillId="0" borderId="10" xfId="1" applyNumberFormat="1" applyFont="1" applyBorder="1"/>
    <xf numFmtId="168" fontId="0" fillId="3" borderId="10" xfId="1" applyNumberFormat="1" applyFont="1" applyFill="1" applyBorder="1"/>
    <xf numFmtId="168" fontId="0" fillId="0" borderId="17" xfId="1" applyNumberFormat="1" applyFont="1" applyBorder="1"/>
    <xf numFmtId="0" fontId="6" fillId="0" borderId="7" xfId="24" applyBorder="1" applyAlignment="1">
      <alignment vertical="top" wrapText="1"/>
    </xf>
    <xf numFmtId="0" fontId="6" fillId="0" borderId="17" xfId="24" applyBorder="1" applyAlignment="1">
      <alignment vertical="top" wrapText="1"/>
    </xf>
    <xf numFmtId="0" fontId="6" fillId="0" borderId="13" xfId="24" applyBorder="1" applyAlignment="1">
      <alignment vertical="top" wrapText="1"/>
    </xf>
    <xf numFmtId="0" fontId="9" fillId="0" borderId="0" xfId="0" applyFont="1"/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165" fontId="0" fillId="0" borderId="0" xfId="0" applyNumberFormat="1"/>
    <xf numFmtId="167" fontId="0" fillId="4" borderId="7" xfId="1" applyNumberFormat="1" applyFont="1" applyFill="1" applyBorder="1"/>
    <xf numFmtId="167" fontId="0" fillId="4" borderId="8" xfId="1" applyNumberFormat="1" applyFont="1" applyFill="1" applyBorder="1"/>
    <xf numFmtId="167" fontId="0" fillId="4" borderId="10" xfId="1" applyNumberFormat="1" applyFont="1" applyFill="1" applyBorder="1"/>
    <xf numFmtId="167" fontId="0" fillId="4" borderId="11" xfId="1" applyNumberFormat="1" applyFont="1" applyFill="1" applyBorder="1"/>
    <xf numFmtId="167" fontId="0" fillId="4" borderId="17" xfId="1" applyNumberFormat="1" applyFont="1" applyFill="1" applyBorder="1"/>
    <xf numFmtId="167" fontId="0" fillId="4" borderId="18" xfId="1" applyNumberFormat="1" applyFont="1" applyFill="1" applyBorder="1"/>
    <xf numFmtId="167" fontId="0" fillId="4" borderId="13" xfId="1" applyNumberFormat="1" applyFont="1" applyFill="1" applyBorder="1"/>
    <xf numFmtId="167" fontId="0" fillId="4" borderId="14" xfId="1" applyNumberFormat="1" applyFont="1" applyFill="1" applyBorder="1"/>
    <xf numFmtId="2" fontId="0" fillId="0" borderId="1" xfId="1" applyNumberFormat="1" applyFont="1" applyFill="1" applyBorder="1"/>
    <xf numFmtId="2" fontId="0" fillId="4" borderId="1" xfId="1" applyNumberFormat="1" applyFont="1" applyFill="1" applyBorder="1"/>
    <xf numFmtId="2" fontId="0" fillId="4" borderId="2" xfId="1" applyNumberFormat="1" applyFont="1" applyFill="1" applyBorder="1"/>
    <xf numFmtId="166" fontId="0" fillId="0" borderId="0" xfId="23" applyNumberFormat="1" applyFont="1"/>
    <xf numFmtId="0" fontId="0" fillId="0" borderId="6" xfId="0" applyBorder="1"/>
    <xf numFmtId="0" fontId="10" fillId="2" borderId="19" xfId="0" applyFont="1" applyFill="1" applyBorder="1"/>
    <xf numFmtId="0" fontId="10" fillId="2" borderId="20" xfId="0" applyFont="1" applyFill="1" applyBorder="1"/>
    <xf numFmtId="0" fontId="10" fillId="2" borderId="21" xfId="0" applyFont="1" applyFill="1" applyBorder="1"/>
    <xf numFmtId="0" fontId="0" fillId="3" borderId="22" xfId="0" applyFill="1" applyBorder="1"/>
    <xf numFmtId="166" fontId="2" fillId="3" borderId="23" xfId="23" applyNumberFormat="1" applyFont="1" applyFill="1" applyBorder="1"/>
    <xf numFmtId="166" fontId="2" fillId="3" borderId="24" xfId="23" applyNumberFormat="1" applyFont="1" applyFill="1" applyBorder="1"/>
    <xf numFmtId="0" fontId="0" fillId="0" borderId="25" xfId="0" applyBorder="1"/>
    <xf numFmtId="166" fontId="2" fillId="0" borderId="26" xfId="23" applyNumberFormat="1" applyFont="1" applyBorder="1"/>
    <xf numFmtId="0" fontId="0" fillId="3" borderId="25" xfId="0" applyFill="1" applyBorder="1"/>
    <xf numFmtId="166" fontId="2" fillId="3" borderId="26" xfId="23" applyNumberFormat="1" applyFont="1" applyFill="1" applyBorder="1"/>
    <xf numFmtId="0" fontId="0" fillId="0" borderId="27" xfId="0" applyBorder="1"/>
    <xf numFmtId="166" fontId="2" fillId="0" borderId="28" xfId="23" applyNumberFormat="1" applyFont="1" applyBorder="1"/>
    <xf numFmtId="0" fontId="0" fillId="0" borderId="29" xfId="0" applyBorder="1"/>
    <xf numFmtId="166" fontId="2" fillId="0" borderId="30" xfId="23" applyNumberFormat="1" applyFont="1" applyBorder="1"/>
    <xf numFmtId="166" fontId="2" fillId="0" borderId="31" xfId="23" applyNumberFormat="1" applyFont="1" applyBorder="1"/>
    <xf numFmtId="168" fontId="0" fillId="4" borderId="7" xfId="1" applyNumberFormat="1" applyFont="1" applyFill="1" applyBorder="1"/>
    <xf numFmtId="168" fontId="0" fillId="4" borderId="8" xfId="1" applyNumberFormat="1" applyFont="1" applyFill="1" applyBorder="1"/>
    <xf numFmtId="168" fontId="0" fillId="4" borderId="10" xfId="1" applyNumberFormat="1" applyFont="1" applyFill="1" applyBorder="1"/>
    <xf numFmtId="168" fontId="0" fillId="4" borderId="11" xfId="1" applyNumberFormat="1" applyFont="1" applyFill="1" applyBorder="1"/>
    <xf numFmtId="1" fontId="0" fillId="4" borderId="10" xfId="1" applyNumberFormat="1" applyFont="1" applyFill="1" applyBorder="1"/>
    <xf numFmtId="1" fontId="0" fillId="4" borderId="11" xfId="1" applyNumberFormat="1" applyFont="1" applyFill="1" applyBorder="1"/>
    <xf numFmtId="168" fontId="0" fillId="4" borderId="17" xfId="1" applyNumberFormat="1" applyFont="1" applyFill="1" applyBorder="1"/>
    <xf numFmtId="168" fontId="0" fillId="4" borderId="18" xfId="1" applyNumberFormat="1" applyFont="1" applyFill="1" applyBorder="1"/>
    <xf numFmtId="1" fontId="0" fillId="4" borderId="13" xfId="1" applyNumberFormat="1" applyFont="1" applyFill="1" applyBorder="1"/>
    <xf numFmtId="1" fontId="0" fillId="4" borderId="14" xfId="1" applyNumberFormat="1" applyFont="1" applyFill="1" applyBorder="1"/>
    <xf numFmtId="0" fontId="0" fillId="0" borderId="32" xfId="0" applyBorder="1"/>
    <xf numFmtId="165" fontId="0" fillId="0" borderId="33" xfId="1" applyNumberFormat="1" applyFont="1" applyFill="1" applyBorder="1"/>
    <xf numFmtId="165" fontId="0" fillId="0" borderId="34" xfId="1" applyNumberFormat="1" applyFont="1" applyFill="1" applyBorder="1"/>
    <xf numFmtId="0" fontId="10" fillId="2" borderId="35" xfId="0" applyFont="1" applyFill="1" applyBorder="1"/>
    <xf numFmtId="0" fontId="10" fillId="2" borderId="36" xfId="0" applyFont="1" applyFill="1" applyBorder="1"/>
    <xf numFmtId="0" fontId="0" fillId="0" borderId="37" xfId="0" applyBorder="1"/>
    <xf numFmtId="166" fontId="0" fillId="0" borderId="38" xfId="23" applyNumberFormat="1" applyFont="1" applyFill="1" applyBorder="1"/>
    <xf numFmtId="166" fontId="0" fillId="0" borderId="39" xfId="23" applyNumberFormat="1" applyFont="1" applyFill="1" applyBorder="1"/>
    <xf numFmtId="9" fontId="0" fillId="0" borderId="0" xfId="23" applyFont="1"/>
  </cellXfs>
  <cellStyles count="28">
    <cellStyle name="Comma" xfId="1" builtinId="3"/>
    <cellStyle name="Comma 2" xfId="4" xr:uid="{00000000-0005-0000-0000-000001000000}"/>
    <cellStyle name="Comma 2 2" xfId="17" xr:uid="{00000000-0005-0000-0000-000002000000}"/>
    <cellStyle name="Comma 3" xfId="8" xr:uid="{00000000-0005-0000-0000-000003000000}"/>
    <cellStyle name="Hyperlink" xfId="24" builtinId="8"/>
    <cellStyle name="Hyperlink 2" xfId="15" xr:uid="{00000000-0005-0000-0000-000005000000}"/>
    <cellStyle name="Hyperlink 2 2" xfId="19" xr:uid="{00000000-0005-0000-0000-000006000000}"/>
    <cellStyle name="Hyperlink 3" xfId="9" xr:uid="{00000000-0005-0000-0000-000007000000}"/>
    <cellStyle name="Normal" xfId="0" builtinId="0"/>
    <cellStyle name="Normal 2" xfId="3" xr:uid="{00000000-0005-0000-0000-000009000000}"/>
    <cellStyle name="Normal 2 2" xfId="7" xr:uid="{00000000-0005-0000-0000-00000A000000}"/>
    <cellStyle name="Normal 2 2 2" xfId="10" xr:uid="{00000000-0005-0000-0000-00000B000000}"/>
    <cellStyle name="Normal 2 3" xfId="14" xr:uid="{00000000-0005-0000-0000-00000C000000}"/>
    <cellStyle name="Normal 3" xfId="5" xr:uid="{00000000-0005-0000-0000-00000D000000}"/>
    <cellStyle name="Normal 3 2" xfId="20" xr:uid="{00000000-0005-0000-0000-00000E000000}"/>
    <cellStyle name="Normal 3 3" xfId="25" xr:uid="{00000000-0005-0000-0000-00000F000000}"/>
    <cellStyle name="Normal 4" xfId="2" xr:uid="{00000000-0005-0000-0000-000010000000}"/>
    <cellStyle name="Normal 4 2" xfId="12" xr:uid="{00000000-0005-0000-0000-000011000000}"/>
    <cellStyle name="Normal 4 3" xfId="16" xr:uid="{00000000-0005-0000-0000-000012000000}"/>
    <cellStyle name="Normal 4 4" xfId="27" xr:uid="{00000000-0005-0000-0000-000013000000}"/>
    <cellStyle name="Normal 5" xfId="13" xr:uid="{00000000-0005-0000-0000-000014000000}"/>
    <cellStyle name="Normal 5 2" xfId="21" xr:uid="{00000000-0005-0000-0000-000015000000}"/>
    <cellStyle name="Percent" xfId="23" builtinId="5"/>
    <cellStyle name="Percent 2" xfId="6" xr:uid="{00000000-0005-0000-0000-000017000000}"/>
    <cellStyle name="Percent 2 2" xfId="18" xr:uid="{00000000-0005-0000-0000-000018000000}"/>
    <cellStyle name="Percent 3" xfId="22" xr:uid="{00000000-0005-0000-0000-000019000000}"/>
    <cellStyle name="Standaard 4" xfId="26" xr:uid="{00000000-0005-0000-0000-00001A000000}"/>
    <cellStyle name="wiiw" xfId="11" xr:uid="{00000000-0005-0000-0000-00001B000000}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0"/>
  <sheetViews>
    <sheetView showGridLines="0" tabSelected="1" zoomScale="87" zoomScaleNormal="100" workbookViewId="0">
      <selection sqref="A1:B1"/>
    </sheetView>
  </sheetViews>
  <sheetFormatPr defaultRowHeight="14.5" x14ac:dyDescent="0.35"/>
  <cols>
    <col min="1" max="1" width="4.54296875" customWidth="1"/>
    <col min="2" max="2" width="80" customWidth="1"/>
    <col min="3" max="3" width="43.453125" customWidth="1"/>
    <col min="4" max="4" width="18" bestFit="1" customWidth="1"/>
    <col min="5" max="5" width="14.1796875" bestFit="1" customWidth="1"/>
  </cols>
  <sheetData>
    <row r="1" spans="1:5" ht="28.5" x14ac:dyDescent="0.65">
      <c r="A1" s="81" t="s">
        <v>14</v>
      </c>
      <c r="B1" s="82"/>
    </row>
    <row r="2" spans="1:5" ht="15" thickBot="1" x14ac:dyDescent="0.4"/>
    <row r="3" spans="1:5" ht="22" thickTop="1" thickBot="1" x14ac:dyDescent="0.55000000000000004">
      <c r="A3" s="15" t="s">
        <v>10</v>
      </c>
      <c r="B3" s="16" t="s">
        <v>8</v>
      </c>
      <c r="C3" s="16" t="s">
        <v>0</v>
      </c>
      <c r="D3" s="16" t="s">
        <v>1</v>
      </c>
      <c r="E3" s="17" t="s">
        <v>9</v>
      </c>
    </row>
    <row r="4" spans="1:5" ht="15" thickTop="1" x14ac:dyDescent="0.35">
      <c r="A4" s="60">
        <v>1</v>
      </c>
      <c r="B4" s="78" t="str">
        <f>Indikatori_1!A1</f>
        <v>Fëmijë 0-17 vjeç viktima (të dëmtuar) të veprave penale, gjatë vitit</v>
      </c>
      <c r="C4" s="55" t="str">
        <f>Indikatori_1!B3</f>
        <v>Drejtoria e Përgjithshme e Policisë</v>
      </c>
      <c r="D4" s="46" t="s">
        <v>21</v>
      </c>
      <c r="E4" s="47">
        <v>2024</v>
      </c>
    </row>
    <row r="5" spans="1:5" x14ac:dyDescent="0.35">
      <c r="A5" s="61">
        <v>2</v>
      </c>
      <c r="B5" s="59" t="str">
        <f>Indikatori_2!A1</f>
        <v>Raporti i fëmijëve 0 -17 vjeç viktima të veprave penale, ndaj totalit të të dëmtuarve, gjatë vitit</v>
      </c>
      <c r="C5" s="56" t="str">
        <f>Indikatori_2!B3</f>
        <v xml:space="preserve">INSTAT / Drejtoria e Përgjithshme e Policisë </v>
      </c>
      <c r="D5" s="48" t="s">
        <v>21</v>
      </c>
      <c r="E5" s="49">
        <v>2024</v>
      </c>
    </row>
    <row r="6" spans="1:5" x14ac:dyDescent="0.35">
      <c r="A6" s="61">
        <v>3</v>
      </c>
      <c r="B6" s="59" t="str">
        <f>Indikatori_3!A1</f>
        <v>Norma e fëmijëve 0-17 vjeç viktima (të dëmtuar) të veprave penale, gjatë vitit (për 100.000)</v>
      </c>
      <c r="C6" s="56" t="str">
        <f>Indikatori_3!B3</f>
        <v xml:space="preserve">INSTAT / Drejtoria e Përgjithshme e Policisë </v>
      </c>
      <c r="D6" s="48" t="s">
        <v>21</v>
      </c>
      <c r="E6" s="49">
        <v>2022</v>
      </c>
    </row>
    <row r="7" spans="1:5" x14ac:dyDescent="0.35">
      <c r="A7" s="61">
        <v>4</v>
      </c>
      <c r="B7" s="59" t="str">
        <f>Indikatori_4!A1</f>
        <v>Norma e fëmijëve 0-17 vjeç viktima të vrasjes me dashje, gjatë vitit (për 100.000)</v>
      </c>
      <c r="C7" s="56" t="str">
        <f>Indikatori_4!B3</f>
        <v xml:space="preserve">INSTAT / Drejtoria e Përgjithshme e Policisë </v>
      </c>
      <c r="D7" s="50" t="s">
        <v>13</v>
      </c>
      <c r="E7" s="49">
        <v>2024</v>
      </c>
    </row>
    <row r="8" spans="1:5" ht="29" x14ac:dyDescent="0.35">
      <c r="A8" s="61">
        <v>5</v>
      </c>
      <c r="B8" s="59" t="str">
        <f>Indikatori_5!A1</f>
        <v>Viktima dhe viktima të mundshme të traﬁkimit të qenieve njerëzore, gjatë vitit</v>
      </c>
      <c r="C8" s="56" t="str">
        <f>Indikatori_5!B3</f>
        <v>Ministria e Brendshme / Koordinatori Kombëtar Antitrafik</v>
      </c>
      <c r="D8" s="48" t="s">
        <v>11</v>
      </c>
      <c r="E8" s="49">
        <v>2024</v>
      </c>
    </row>
    <row r="9" spans="1:5" ht="29" x14ac:dyDescent="0.35">
      <c r="A9" s="61">
        <v>6</v>
      </c>
      <c r="B9" s="59" t="str">
        <f>Indikatori_6!A1</f>
        <v>Norma e viktimave dhe viktimave të mundshme të traﬁkimit të qenieve njerëzore, gjatë vitit (për 100.000)</v>
      </c>
      <c r="C9" s="56" t="str">
        <f>Indikatori_6!B3</f>
        <v>INSTAT / Ministria e Brendshme / Koordinatori Kombëtar Antitrafik</v>
      </c>
      <c r="D9" s="48" t="s">
        <v>11</v>
      </c>
      <c r="E9" s="49">
        <v>2022</v>
      </c>
    </row>
    <row r="10" spans="1:5" ht="29" x14ac:dyDescent="0.35">
      <c r="A10" s="61">
        <v>7</v>
      </c>
      <c r="B10" s="59" t="str">
        <f>Indikatori_7!A1</f>
        <v>Fëmijë 0-17 vjeç viktima dhe viktima të mundshme të traﬁkimit të qenieve njerëzore, gjatë vitit</v>
      </c>
      <c r="C10" s="56" t="str">
        <f>Indikatori_7!B3</f>
        <v>Ministria e Brendshme / Koordinatori Kombëtar Antitrafik</v>
      </c>
      <c r="D10" s="48" t="s">
        <v>11</v>
      </c>
      <c r="E10" s="49">
        <v>2024</v>
      </c>
    </row>
    <row r="11" spans="1:5" ht="29" x14ac:dyDescent="0.35">
      <c r="A11" s="61">
        <v>8</v>
      </c>
      <c r="B11" s="59" t="str">
        <f>Indikatori_8!A1</f>
        <v>Raporti i fëmijëve 0-17 vjeç viktima dhe viktima të mundshme të traﬁkimit të qenieve njerëzore, gjatë vitit</v>
      </c>
      <c r="C11" s="56" t="str">
        <f>Indikatori_8!B3</f>
        <v>INSTAT / Ministria e Brendshme / Koordinatori Kombëtar Antitrafik</v>
      </c>
      <c r="D11" s="48" t="s">
        <v>11</v>
      </c>
      <c r="E11" s="49">
        <v>2024</v>
      </c>
    </row>
    <row r="12" spans="1:5" ht="29" x14ac:dyDescent="0.35">
      <c r="A12" s="61">
        <v>9</v>
      </c>
      <c r="B12" s="59" t="str">
        <f>Indikatori_9!A1</f>
        <v>Norma e fëmijëve 0-17 vjeç viktima dhe viktima të mundshme të traﬁkimit të qenieve njerëzore, gjatë vitit (për 100.000)</v>
      </c>
      <c r="C12" s="56" t="str">
        <f>Indikatori_9!B3</f>
        <v>INSTAT/ Ministria e Brendshme / Koordinatori Kombëtar Antitrafik</v>
      </c>
      <c r="D12" s="48" t="s">
        <v>11</v>
      </c>
      <c r="E12" s="49">
        <v>2022</v>
      </c>
    </row>
    <row r="13" spans="1:5" x14ac:dyDescent="0.35">
      <c r="A13" s="61">
        <v>10</v>
      </c>
      <c r="B13" s="59" t="str">
        <f>Indikatori_10!A1</f>
        <v>Fëmijë nën 18 vjeç të dyshuar për vepra penale, gjatë vitit</v>
      </c>
      <c r="C13" s="56" t="str">
        <f>Indikatori_10!B3</f>
        <v xml:space="preserve">Drejtoria e Përgjithshme e Policisë </v>
      </c>
      <c r="D13" s="48" t="s">
        <v>66</v>
      </c>
      <c r="E13" s="49">
        <v>2024</v>
      </c>
    </row>
    <row r="14" spans="1:5" ht="29" x14ac:dyDescent="0.35">
      <c r="A14" s="61">
        <v>11</v>
      </c>
      <c r="B14" s="59" t="str">
        <f>Indikatori_11!A1</f>
        <v>Raporti i fëmijëve nën 18 vjeç të dyshuar për vepra penale, ndaj totalit të personave të dyshuar për vepra penale, gjatë vitit</v>
      </c>
      <c r="C14" s="56" t="str">
        <f>Indikatori_11!B3</f>
        <v xml:space="preserve">INSTAT / Drejtoria e Përgjithshme e Policisë </v>
      </c>
      <c r="D14" s="48" t="s">
        <v>66</v>
      </c>
      <c r="E14" s="49">
        <v>2024</v>
      </c>
    </row>
    <row r="15" spans="1:5" x14ac:dyDescent="0.35">
      <c r="A15" s="62">
        <v>12</v>
      </c>
      <c r="B15" s="79" t="str">
        <f>Indikatori_12!A1</f>
        <v>Norma e fëmijëve nën 18 vjeç të dyshuar për vepra penale, gjatë vitit (për 100.000)</v>
      </c>
      <c r="C15" s="57" t="str">
        <f>Indikatori_12!B3</f>
        <v xml:space="preserve">INSTAT / Drejtoria e Përgjithshme e Policisë </v>
      </c>
      <c r="D15" s="48" t="s">
        <v>66</v>
      </c>
      <c r="E15" s="49">
        <v>2022</v>
      </c>
    </row>
    <row r="16" spans="1:5" x14ac:dyDescent="0.35">
      <c r="A16" s="62">
        <v>13</v>
      </c>
      <c r="B16" s="79" t="str">
        <f>Indikatori_13!A1</f>
        <v>Fëmijë 14-17 vjeç në institucionet e privimit të lirisë, në fund të vitit</v>
      </c>
      <c r="C16" s="57" t="str">
        <f>Indikatori_13!B3</f>
        <v>Drejtoria e Përgjithshme e Burgjeve</v>
      </c>
      <c r="D16" s="51" t="s">
        <v>67</v>
      </c>
      <c r="E16" s="52">
        <v>2024</v>
      </c>
    </row>
    <row r="17" spans="1:5" x14ac:dyDescent="0.35">
      <c r="A17" s="62">
        <v>14</v>
      </c>
      <c r="B17" s="79" t="str">
        <f>Indikatori_14!A1</f>
        <v>Raporti i fëmijëve 14-17 vjeç në institucionet e privimit të lirisë, në fund të vitit</v>
      </c>
      <c r="C17" s="57" t="str">
        <f>Indikatori_14!B3</f>
        <v>INSTAT / Drejtoria e Përgjithshme e Burgjeve</v>
      </c>
      <c r="D17" s="51" t="s">
        <v>67</v>
      </c>
      <c r="E17" s="52">
        <v>2024</v>
      </c>
    </row>
    <row r="18" spans="1:5" x14ac:dyDescent="0.35">
      <c r="A18" s="62">
        <v>15</v>
      </c>
      <c r="B18" s="79" t="str">
        <f>Indikatori_15!A1</f>
        <v>Norma e fëmijëve 14-17 vjeç në institucionet e privimit të lirisë, në fund të vitit (për 100.000)</v>
      </c>
      <c r="C18" s="57" t="str">
        <f>Indikatori_15!B3</f>
        <v>INSTAT / Drejtoria e Përgjithshme e Burgjeve</v>
      </c>
      <c r="D18" s="51" t="s">
        <v>67</v>
      </c>
      <c r="E18" s="49">
        <v>2022</v>
      </c>
    </row>
    <row r="19" spans="1:5" x14ac:dyDescent="0.35">
      <c r="A19" s="62">
        <v>16</v>
      </c>
      <c r="B19" s="79" t="str">
        <f>Indikatori_16!A1</f>
        <v>Raporti i fëmijëve 14-17 vjeç në paraburgim në institucionet e privimit të lirisë, në fund të vitit</v>
      </c>
      <c r="C19" s="57" t="str">
        <f>Indikatori_16!B3</f>
        <v>INSTAT / Drejtoria e Përgjithshme e Burgjeve</v>
      </c>
      <c r="D19" s="48" t="s">
        <v>11</v>
      </c>
      <c r="E19" s="49">
        <v>2024</v>
      </c>
    </row>
    <row r="20" spans="1:5" x14ac:dyDescent="0.35">
      <c r="A20" s="62">
        <v>17</v>
      </c>
      <c r="B20" s="79" t="str">
        <f>Indikatori_17!A1</f>
        <v>Raporti i të rinjve 14-24 vjeç në paraburgim në institucionet e privimit të lirisë, në fund të vitit</v>
      </c>
      <c r="C20" s="57" t="str">
        <f>Indikatori_17!B3</f>
        <v>INSTAT / Drejtoria e Përgjithshme e Burgjeve</v>
      </c>
      <c r="D20" s="48" t="s">
        <v>11</v>
      </c>
      <c r="E20" s="49">
        <v>2024</v>
      </c>
    </row>
    <row r="21" spans="1:5" x14ac:dyDescent="0.35">
      <c r="A21" s="62">
        <v>18</v>
      </c>
      <c r="B21" s="79" t="str">
        <f>Indikatori_18!A1</f>
        <v>Recidivizmi i fëmijëve 14 - 17 vjeç ne paraburgim, gjatë vitit</v>
      </c>
      <c r="C21" s="57" t="str">
        <f>Indikatori_18!B3</f>
        <v>Drejtoria e Përgjithshme e Burgjeve</v>
      </c>
      <c r="D21" s="51" t="s">
        <v>13</v>
      </c>
      <c r="E21" s="52">
        <v>2024</v>
      </c>
    </row>
    <row r="22" spans="1:5" x14ac:dyDescent="0.35">
      <c r="A22" s="62">
        <v>19</v>
      </c>
      <c r="B22" s="79" t="str">
        <f>Indikatori_19!A1</f>
        <v>Fëmijë 14-17 vjeç rasti i të cilëve është trajtuar nga gjykatat e shkallës së parë, gjatë vitit</v>
      </c>
      <c r="C22" s="57" t="str">
        <f>Indikatori_19!B3</f>
        <v>Ministria e Drejtësisë</v>
      </c>
      <c r="D22" s="51" t="s">
        <v>81</v>
      </c>
      <c r="E22" s="52">
        <v>2023</v>
      </c>
    </row>
    <row r="23" spans="1:5" x14ac:dyDescent="0.35">
      <c r="A23" s="62">
        <v>20</v>
      </c>
      <c r="B23" s="79" t="str">
        <f>Indikatori_20!A1</f>
        <v>Fëmijë 14-17 vjeç të dënuar me masa alternative nga gjykatat e shkallës së parë, gjatë vitit</v>
      </c>
      <c r="C23" s="57" t="str">
        <f>Indikatori_20!B3</f>
        <v>Ministria e Drejtësisë</v>
      </c>
      <c r="D23" s="51" t="s">
        <v>81</v>
      </c>
      <c r="E23" s="52">
        <v>2023</v>
      </c>
    </row>
    <row r="24" spans="1:5" x14ac:dyDescent="0.35">
      <c r="A24" s="62">
        <v>21</v>
      </c>
      <c r="B24" s="79" t="str">
        <f>Indikatori_21!A1</f>
        <v>Fëmijë 14-17 vjeç të dënuar me heqje të lirisë nga gjykatat e shkallës së parë, gjatë vitit</v>
      </c>
      <c r="C24" s="57" t="str">
        <f>Indikatori_21!B3</f>
        <v>Ministria e Drejtësisë</v>
      </c>
      <c r="D24" s="51" t="s">
        <v>81</v>
      </c>
      <c r="E24" s="52">
        <v>2023</v>
      </c>
    </row>
    <row r="25" spans="1:5" ht="29" x14ac:dyDescent="0.35">
      <c r="A25" s="62">
        <v>22</v>
      </c>
      <c r="B25" s="79" t="str">
        <f>Indikatori_22!A1</f>
        <v>Raporti fëmijëve 14-17 vjeç të dënuar me masa alternative ndaj totalit të fëmijëve, të dënuar nga gjykatat e shkallës së parë, gjatë vitit</v>
      </c>
      <c r="C25" s="57" t="str">
        <f>Indikatori_22!B3</f>
        <v>INSTAT/Ministria e Drejtësisë</v>
      </c>
      <c r="D25" s="51" t="s">
        <v>13</v>
      </c>
      <c r="E25" s="52">
        <v>2023</v>
      </c>
    </row>
    <row r="26" spans="1:5" ht="29" x14ac:dyDescent="0.35">
      <c r="A26" s="62">
        <v>23</v>
      </c>
      <c r="B26" s="79" t="str">
        <f>Indikatori_23!A1</f>
        <v>Raporti i fëmijëve 14-17 vjeç të dënuar me heqje të lirisë ndaj totalit të fëmijëve, të dënuar nga gjykatat e shkallës së parë, gjatë vitit</v>
      </c>
      <c r="C26" s="57" t="str">
        <f>Indikatori_23!B3</f>
        <v>INSTAT/Ministria e Drejtësisë</v>
      </c>
      <c r="D26" s="51" t="s">
        <v>13</v>
      </c>
      <c r="E26" s="52">
        <v>2023</v>
      </c>
    </row>
    <row r="27" spans="1:5" x14ac:dyDescent="0.35">
      <c r="A27" s="62">
        <v>24</v>
      </c>
      <c r="B27" s="79" t="str">
        <f>Indikatori_24!A1</f>
        <v>Fëmijë 14-17 vjeç të pandehur për vepra penale, të regjistruar në prokurori, gjatë vitit</v>
      </c>
      <c r="C27" s="57" t="str">
        <f>Indikatori_24!B3</f>
        <v>Prokuroria</v>
      </c>
      <c r="D27" s="51" t="s">
        <v>11</v>
      </c>
      <c r="E27" s="52">
        <v>2023</v>
      </c>
    </row>
    <row r="28" spans="1:5" ht="29" x14ac:dyDescent="0.35">
      <c r="A28" s="62">
        <v>25</v>
      </c>
      <c r="B28" s="79" t="str">
        <f>Indikatori_25!A1</f>
        <v>Raporti i fëmijëve 14-17 vjeç të akuzuar për vepra penale, ndaj totalit të personave të regjistruar në prokurori, gjatë vitit</v>
      </c>
      <c r="C28" s="57" t="str">
        <f>Indikatori_25!B3</f>
        <v>INSTAT/ Prokuroria</v>
      </c>
      <c r="D28" s="51" t="s">
        <v>11</v>
      </c>
      <c r="E28" s="52">
        <v>2023</v>
      </c>
    </row>
    <row r="29" spans="1:5" ht="29.5" thickBot="1" x14ac:dyDescent="0.4">
      <c r="A29" s="63">
        <v>26</v>
      </c>
      <c r="B29" s="80" t="str">
        <f>Indikatori_26!A1</f>
        <v>Norma e fëmijëve 14-17 vjeç të pandehur për vepra penale të regjistruar në prokurori, gjatë vitit (për 100.000)</v>
      </c>
      <c r="C29" s="58" t="str">
        <f>Indikatori_26!B3</f>
        <v>INSTAT/ Prokuroria</v>
      </c>
      <c r="D29" s="53" t="s">
        <v>11</v>
      </c>
      <c r="E29" s="54">
        <v>2022</v>
      </c>
    </row>
    <row r="30" spans="1:5" ht="15" thickTop="1" x14ac:dyDescent="0.35"/>
  </sheetData>
  <mergeCells count="1">
    <mergeCell ref="A1:B1"/>
  </mergeCells>
  <hyperlinks>
    <hyperlink ref="B4" location="Indikatori_1!A1" display="Indikatori_1!A1" xr:uid="{00000000-0004-0000-0000-000000000000}"/>
    <hyperlink ref="B5" location="Indikatori_2!A1" display="Indikatori_2!A1" xr:uid="{00000000-0004-0000-0000-000001000000}"/>
    <hyperlink ref="B6" location="Indikatori_3!A1" display="Indikatori_3!A1" xr:uid="{00000000-0004-0000-0000-000002000000}"/>
    <hyperlink ref="B7" location="Indikatori_4!A1" display="Indikatori_4!A1" xr:uid="{00000000-0004-0000-0000-000003000000}"/>
    <hyperlink ref="B8" location="Indikatori_5!A1" display="Indikatori_5!A1" xr:uid="{00000000-0004-0000-0000-000004000000}"/>
    <hyperlink ref="B9" location="Indikatori_6!A1" display="Indikatori_6!A1" xr:uid="{00000000-0004-0000-0000-000005000000}"/>
    <hyperlink ref="B10" location="Indikatori_7!A1" display="Indikatori_7!A1" xr:uid="{00000000-0004-0000-0000-000006000000}"/>
    <hyperlink ref="B11" location="Indikatori_8!A1" display="Indikatori_8!A1" xr:uid="{00000000-0004-0000-0000-000007000000}"/>
    <hyperlink ref="B12" location="Indikatori_9!A1" display="Indikatori_9!A1" xr:uid="{00000000-0004-0000-0000-000008000000}"/>
    <hyperlink ref="B13" location="Indikatori_10!A1" display="Indikatori_10!A1" xr:uid="{00000000-0004-0000-0000-000009000000}"/>
    <hyperlink ref="B14" location="Indikatori_11!A1" display="Indikatori_11!A1" xr:uid="{00000000-0004-0000-0000-00000A000000}"/>
    <hyperlink ref="B15" location="Indikatori_12!A1" display="Indikatori_12!A1" xr:uid="{00000000-0004-0000-0000-00000B000000}"/>
    <hyperlink ref="B16" location="Indikatori_13!A1" display="Indikatori_13!A1" xr:uid="{00000000-0004-0000-0000-00000C000000}"/>
    <hyperlink ref="B17" location="Indikatori_14!A1" display="Indikatori_14!A1" xr:uid="{00000000-0004-0000-0000-00000D000000}"/>
    <hyperlink ref="B18" location="Indikatori_15!A1" display="Indikatori_15!A1" xr:uid="{00000000-0004-0000-0000-00000E000000}"/>
    <hyperlink ref="B19" location="Indikatori_16!A1" display="Indikatori_16!A1" xr:uid="{00000000-0004-0000-0000-00000F000000}"/>
    <hyperlink ref="B20" location="Indikatori_17!A1" display="Indikatori_17!A1" xr:uid="{00000000-0004-0000-0000-000010000000}"/>
    <hyperlink ref="B21" location="Indikatori_18!A1" display="Indikatori_18!A1" xr:uid="{00000000-0004-0000-0000-000011000000}"/>
    <hyperlink ref="B22" location="Indikatori_19!A1" display="Indikatori_19!A1" xr:uid="{00000000-0004-0000-0000-000012000000}"/>
    <hyperlink ref="B29" location="Indikatori_26!A1" display="Indikatori_26!A1" xr:uid="{00000000-0004-0000-0000-000013000000}"/>
    <hyperlink ref="B23" location="Indikatori_20!A1" display="Indikatori_20!A1" xr:uid="{00000000-0004-0000-0000-000014000000}"/>
    <hyperlink ref="B24" location="Indikatori_21!A1" display="Indikatori_21!A1" xr:uid="{00000000-0004-0000-0000-000015000000}"/>
    <hyperlink ref="B25" location="Indikatori_22!A1" display="Indikatori_22!A1" xr:uid="{00000000-0004-0000-0000-000016000000}"/>
    <hyperlink ref="B26" location="Indikatori_23!A1" display="Indikatori_23!A1" xr:uid="{00000000-0004-0000-0000-000017000000}"/>
    <hyperlink ref="B27" location="Indikatori_24!A1" display="Indikatori_24!A1" xr:uid="{00000000-0004-0000-0000-000018000000}"/>
    <hyperlink ref="B28" location="Indikatori_25!A1" display="Indikatori_25!A1" xr:uid="{00000000-0004-0000-0000-000019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M12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71</v>
      </c>
    </row>
    <row r="3" spans="1:13" x14ac:dyDescent="0.35">
      <c r="A3" s="3" t="s">
        <v>0</v>
      </c>
      <c r="B3" s="85" t="s">
        <v>80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6.5" customHeight="1" x14ac:dyDescent="0.35">
      <c r="A4" s="14" t="s">
        <v>12</v>
      </c>
      <c r="B4" s="84" t="s">
        <v>84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2">
        <v>11.1</v>
      </c>
      <c r="C9" s="22">
        <v>9.9</v>
      </c>
      <c r="D9" s="22">
        <v>19.600000000000001</v>
      </c>
      <c r="E9" s="22">
        <v>13.4</v>
      </c>
      <c r="F9" s="87"/>
      <c r="G9" s="88"/>
    </row>
    <row r="10" spans="1:13" x14ac:dyDescent="0.35">
      <c r="A10" s="13" t="s">
        <v>3</v>
      </c>
      <c r="B10" s="24">
        <v>6.8</v>
      </c>
      <c r="C10" s="24">
        <v>7.7</v>
      </c>
      <c r="D10" s="24">
        <v>20.6</v>
      </c>
      <c r="E10" s="24">
        <v>9.3000000000000007</v>
      </c>
      <c r="F10" s="91"/>
      <c r="G10" s="92"/>
    </row>
    <row r="11" spans="1:13" ht="15" thickBot="1" x14ac:dyDescent="0.4">
      <c r="A11" s="2" t="s">
        <v>4</v>
      </c>
      <c r="B11" s="12">
        <v>15.6</v>
      </c>
      <c r="C11" s="12">
        <v>12.2</v>
      </c>
      <c r="D11" s="12">
        <v>18.600000000000001</v>
      </c>
      <c r="E11" s="12">
        <v>17.7</v>
      </c>
      <c r="F11" s="93"/>
      <c r="G11" s="94"/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M13"/>
  <sheetViews>
    <sheetView showGridLines="0" zoomScaleNormal="100" workbookViewId="0">
      <selection activeCell="D8" sqref="A8:XFD13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91</v>
      </c>
    </row>
    <row r="3" spans="1:13" x14ac:dyDescent="0.35">
      <c r="A3" s="3" t="s">
        <v>0</v>
      </c>
      <c r="B3" s="85" t="s">
        <v>25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32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99" t="s">
        <v>93</v>
      </c>
      <c r="B9" s="41">
        <v>1337</v>
      </c>
      <c r="C9" s="41">
        <v>3308</v>
      </c>
      <c r="D9" s="41">
        <v>1940</v>
      </c>
      <c r="E9" s="41">
        <v>1773</v>
      </c>
      <c r="F9" s="41">
        <v>2005</v>
      </c>
      <c r="G9" s="42">
        <v>1835</v>
      </c>
    </row>
    <row r="10" spans="1:13" x14ac:dyDescent="0.35">
      <c r="A10" s="13" t="s">
        <v>94</v>
      </c>
      <c r="B10" s="29">
        <v>267</v>
      </c>
      <c r="C10" s="29">
        <v>489</v>
      </c>
      <c r="D10" s="29">
        <v>531</v>
      </c>
      <c r="E10" s="29">
        <v>557</v>
      </c>
      <c r="F10" s="29">
        <v>342</v>
      </c>
      <c r="G10" s="30">
        <v>330</v>
      </c>
    </row>
    <row r="11" spans="1:13" ht="15" thickBot="1" x14ac:dyDescent="0.4">
      <c r="A11" s="2" t="s">
        <v>20</v>
      </c>
      <c r="B11" s="6">
        <v>1070</v>
      </c>
      <c r="C11" s="6">
        <v>2819</v>
      </c>
      <c r="D11" s="6">
        <v>1409</v>
      </c>
      <c r="E11" s="6">
        <v>1216</v>
      </c>
      <c r="F11" s="6">
        <v>1663</v>
      </c>
      <c r="G11" s="7">
        <v>1505</v>
      </c>
    </row>
    <row r="12" spans="1:13" ht="15" thickTop="1" x14ac:dyDescent="0.35"/>
    <row r="13" spans="1:13" x14ac:dyDescent="0.35">
      <c r="A13" s="3" t="s">
        <v>95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M13"/>
  <sheetViews>
    <sheetView showGridLines="0" zoomScaleNormal="100" workbookViewId="0">
      <selection activeCell="E8" sqref="A8:XFD13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89</v>
      </c>
    </row>
    <row r="3" spans="1:13" x14ac:dyDescent="0.35">
      <c r="A3" s="3" t="s">
        <v>0</v>
      </c>
      <c r="B3" s="85" t="s">
        <v>76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7.65" customHeight="1" x14ac:dyDescent="0.35">
      <c r="A4" s="14" t="s">
        <v>12</v>
      </c>
      <c r="B4" s="84" t="s">
        <v>33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99" t="s">
        <v>93</v>
      </c>
      <c r="B9" s="43">
        <f>(3.10605180624927) / 100</f>
        <v>3.1060518062492701E-2</v>
      </c>
      <c r="C9" s="43">
        <f>(8.07696064068757) / 100</f>
        <v>8.0769606406875707E-2</v>
      </c>
      <c r="D9" s="43">
        <v>4.9000000000000002E-2</v>
      </c>
      <c r="E9" s="43">
        <v>4.5999999999999999E-2</v>
      </c>
      <c r="F9" s="43">
        <v>5.0999999999999997E-2</v>
      </c>
      <c r="G9" s="44">
        <v>4.5809721147365007E-2</v>
      </c>
    </row>
    <row r="10" spans="1:13" x14ac:dyDescent="0.35">
      <c r="A10" s="13" t="s">
        <v>94</v>
      </c>
      <c r="B10" s="37">
        <f>(0.620281101173191) / 100</f>
        <v>6.2028110117319105E-3</v>
      </c>
      <c r="C10" s="37">
        <f>(1.19396425432171) / 100</f>
        <v>1.19396425432171E-2</v>
      </c>
      <c r="D10" s="37">
        <v>1.3501830756712801E-2</v>
      </c>
      <c r="E10" s="37">
        <v>1.4999999999999999E-2</v>
      </c>
      <c r="F10" s="37">
        <v>8.9999999999999993E-3</v>
      </c>
      <c r="G10" s="38">
        <v>8.2382604788176841E-3</v>
      </c>
    </row>
    <row r="11" spans="1:13" ht="15" thickBot="1" x14ac:dyDescent="0.4">
      <c r="A11" s="2" t="s">
        <v>96</v>
      </c>
      <c r="B11" s="39">
        <f>(2.48577070507608) / 100</f>
        <v>2.4857707050760798E-2</v>
      </c>
      <c r="C11" s="39">
        <f>(6.88299638636586) / 100</f>
        <v>6.8829963863658597E-2</v>
      </c>
      <c r="D11" s="39">
        <v>3.5826891781936501E-2</v>
      </c>
      <c r="E11" s="39">
        <v>3.2000000000000001E-2</v>
      </c>
      <c r="F11" s="39">
        <v>4.2000000000000003E-2</v>
      </c>
      <c r="G11" s="40">
        <v>3.7571460668547323E-2</v>
      </c>
    </row>
    <row r="12" spans="1:13" ht="15" thickTop="1" x14ac:dyDescent="0.35"/>
    <row r="13" spans="1:13" x14ac:dyDescent="0.35">
      <c r="A13" s="3" t="s">
        <v>95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M14"/>
  <sheetViews>
    <sheetView showGridLines="0" zoomScaleNormal="100" workbookViewId="0">
      <selection activeCell="E7" sqref="E7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90</v>
      </c>
    </row>
    <row r="3" spans="1:13" x14ac:dyDescent="0.35">
      <c r="A3" s="3" t="s">
        <v>0</v>
      </c>
      <c r="B3" s="85" t="s">
        <v>76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6.5" customHeight="1" x14ac:dyDescent="0.35">
      <c r="A4" s="14" t="s">
        <v>12</v>
      </c>
      <c r="B4" s="84" t="s">
        <v>34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99" t="s">
        <v>93</v>
      </c>
      <c r="B9" s="45">
        <v>417.21405858471758</v>
      </c>
      <c r="C9" s="45">
        <v>1063.501453151925</v>
      </c>
      <c r="D9" s="45">
        <v>644.3962439006566</v>
      </c>
      <c r="E9" s="45">
        <v>604.70000000000005</v>
      </c>
      <c r="F9" s="87"/>
      <c r="G9" s="88"/>
    </row>
    <row r="10" spans="1:13" x14ac:dyDescent="0.35">
      <c r="A10" s="13" t="s">
        <v>94</v>
      </c>
      <c r="B10" s="24">
        <v>200.6</v>
      </c>
      <c r="C10" s="24">
        <v>157.21046269386076</v>
      </c>
      <c r="D10" s="24">
        <v>176.37855954188078</v>
      </c>
      <c r="E10" s="24">
        <v>291.8</v>
      </c>
      <c r="F10" s="91"/>
      <c r="G10" s="92"/>
    </row>
    <row r="11" spans="1:13" ht="15" thickBot="1" x14ac:dyDescent="0.4">
      <c r="A11" s="2" t="s">
        <v>96</v>
      </c>
      <c r="B11" s="12">
        <v>690.22016087935344</v>
      </c>
      <c r="C11" s="12">
        <v>1887.4872783759174</v>
      </c>
      <c r="D11" s="12">
        <v>998.25712382922654</v>
      </c>
      <c r="E11" s="12">
        <v>904.6</v>
      </c>
      <c r="F11" s="93"/>
      <c r="G11" s="94"/>
    </row>
    <row r="12" spans="1:13" ht="15" thickTop="1" x14ac:dyDescent="0.35"/>
    <row r="13" spans="1:13" x14ac:dyDescent="0.35">
      <c r="A13" s="3" t="s">
        <v>95</v>
      </c>
    </row>
    <row r="14" spans="1:13" x14ac:dyDescent="0.35">
      <c r="A14" s="3" t="s">
        <v>92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M18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4.453125" customWidth="1"/>
    <col min="2" max="7" width="10.81640625" bestFit="1" customWidth="1"/>
  </cols>
  <sheetData>
    <row r="1" spans="1:13" s="83" customFormat="1" ht="21" x14ac:dyDescent="0.5">
      <c r="A1" s="83" t="s">
        <v>35</v>
      </c>
    </row>
    <row r="3" spans="1:13" x14ac:dyDescent="0.35">
      <c r="A3" s="3" t="s">
        <v>0</v>
      </c>
      <c r="B3" s="85" t="s">
        <v>36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37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64">
        <v>23</v>
      </c>
      <c r="C9" s="64">
        <v>21</v>
      </c>
      <c r="D9" s="64">
        <v>19</v>
      </c>
      <c r="E9" s="64">
        <v>16</v>
      </c>
      <c r="F9" s="64">
        <v>20</v>
      </c>
      <c r="G9" s="65">
        <v>27</v>
      </c>
      <c r="I9" s="98"/>
    </row>
    <row r="10" spans="1:13" x14ac:dyDescent="0.35">
      <c r="A10" s="1" t="s">
        <v>3</v>
      </c>
      <c r="B10" s="66">
        <v>23</v>
      </c>
      <c r="C10" s="66">
        <v>21</v>
      </c>
      <c r="D10" s="66">
        <v>19</v>
      </c>
      <c r="E10" s="66">
        <v>16</v>
      </c>
      <c r="F10" s="66">
        <v>20</v>
      </c>
      <c r="G10" s="67">
        <v>27</v>
      </c>
      <c r="I10" s="98"/>
    </row>
    <row r="11" spans="1:13" x14ac:dyDescent="0.35">
      <c r="A11" s="1" t="s">
        <v>4</v>
      </c>
      <c r="B11" s="66">
        <v>0</v>
      </c>
      <c r="C11" s="66">
        <v>0</v>
      </c>
      <c r="D11" s="66">
        <v>0</v>
      </c>
      <c r="E11" s="66">
        <v>0</v>
      </c>
      <c r="F11" s="66">
        <v>0</v>
      </c>
      <c r="G11" s="67">
        <v>0</v>
      </c>
      <c r="I11" s="98"/>
    </row>
    <row r="12" spans="1:13" x14ac:dyDescent="0.35">
      <c r="A12" s="21" t="s">
        <v>38</v>
      </c>
      <c r="B12" s="68">
        <v>4</v>
      </c>
      <c r="C12" s="68">
        <v>1</v>
      </c>
      <c r="D12" s="68">
        <v>1</v>
      </c>
      <c r="E12" s="68">
        <v>4</v>
      </c>
      <c r="F12" s="68">
        <v>2</v>
      </c>
      <c r="G12" s="69">
        <v>6</v>
      </c>
      <c r="I12" s="98"/>
    </row>
    <row r="13" spans="1:13" x14ac:dyDescent="0.35">
      <c r="A13" s="1" t="s">
        <v>3</v>
      </c>
      <c r="B13" s="66">
        <v>4</v>
      </c>
      <c r="C13" s="66">
        <v>1</v>
      </c>
      <c r="D13" s="66">
        <v>1</v>
      </c>
      <c r="E13" s="66">
        <v>4</v>
      </c>
      <c r="F13" s="66">
        <v>2</v>
      </c>
      <c r="G13" s="67">
        <v>6</v>
      </c>
      <c r="I13" s="98"/>
    </row>
    <row r="14" spans="1:13" x14ac:dyDescent="0.35">
      <c r="A14" s="1" t="s">
        <v>4</v>
      </c>
      <c r="B14" s="66">
        <v>0</v>
      </c>
      <c r="C14" s="66">
        <v>0</v>
      </c>
      <c r="D14" s="66">
        <v>0</v>
      </c>
      <c r="E14" s="66">
        <v>0</v>
      </c>
      <c r="F14" s="66">
        <v>0</v>
      </c>
      <c r="G14" s="67">
        <v>0</v>
      </c>
      <c r="I14" s="98"/>
    </row>
    <row r="15" spans="1:13" x14ac:dyDescent="0.35">
      <c r="A15" s="21" t="s">
        <v>39</v>
      </c>
      <c r="B15" s="68">
        <v>19</v>
      </c>
      <c r="C15" s="68">
        <v>20</v>
      </c>
      <c r="D15" s="68">
        <v>18</v>
      </c>
      <c r="E15" s="68">
        <v>12</v>
      </c>
      <c r="F15" s="68">
        <v>18</v>
      </c>
      <c r="G15" s="69">
        <v>21</v>
      </c>
      <c r="I15" s="98"/>
    </row>
    <row r="16" spans="1:13" x14ac:dyDescent="0.35">
      <c r="A16" s="13" t="s">
        <v>3</v>
      </c>
      <c r="B16" s="70">
        <v>19</v>
      </c>
      <c r="C16" s="70">
        <v>20</v>
      </c>
      <c r="D16" s="70">
        <v>18</v>
      </c>
      <c r="E16" s="70">
        <v>12</v>
      </c>
      <c r="F16" s="70">
        <v>18</v>
      </c>
      <c r="G16" s="71">
        <v>21</v>
      </c>
    </row>
    <row r="17" spans="1:7" ht="15" thickBot="1" x14ac:dyDescent="0.4">
      <c r="A17" s="2" t="s">
        <v>4</v>
      </c>
      <c r="B17" s="72">
        <v>0</v>
      </c>
      <c r="C17" s="72">
        <v>0</v>
      </c>
      <c r="D17" s="72">
        <v>0</v>
      </c>
      <c r="E17" s="72">
        <v>0</v>
      </c>
      <c r="F17" s="72">
        <v>0</v>
      </c>
      <c r="G17" s="73">
        <v>0</v>
      </c>
    </row>
    <row r="18" spans="1: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M17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4.26953125" customWidth="1"/>
    <col min="2" max="7" width="10.81640625" bestFit="1" customWidth="1"/>
  </cols>
  <sheetData>
    <row r="1" spans="1:13" s="83" customFormat="1" ht="21" x14ac:dyDescent="0.5">
      <c r="A1" s="83" t="s">
        <v>40</v>
      </c>
    </row>
    <row r="3" spans="1:13" x14ac:dyDescent="0.35">
      <c r="A3" s="3" t="s">
        <v>0</v>
      </c>
      <c r="B3" s="85" t="s">
        <v>77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41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" thickBot="1" x14ac:dyDescent="0.5">
      <c r="A8" s="100"/>
      <c r="B8" s="101">
        <v>2019</v>
      </c>
      <c r="C8" s="101">
        <v>2020</v>
      </c>
      <c r="D8" s="101">
        <v>2021</v>
      </c>
      <c r="E8" s="101">
        <v>2022</v>
      </c>
      <c r="F8" s="101">
        <v>2023</v>
      </c>
      <c r="G8" s="102">
        <v>2024</v>
      </c>
    </row>
    <row r="9" spans="1:13" x14ac:dyDescent="0.35">
      <c r="A9" s="103" t="s">
        <v>2</v>
      </c>
      <c r="B9" s="104">
        <f>(0.45589692765114) / 100</f>
        <v>4.5589692765114001E-3</v>
      </c>
      <c r="C9" s="104">
        <f>(0.455136540962289) / 100</f>
        <v>4.5513654096228902E-3</v>
      </c>
      <c r="D9" s="104">
        <v>3.8337368845843402E-3</v>
      </c>
      <c r="E9" s="104">
        <v>3.0000000000000001E-3</v>
      </c>
      <c r="F9" s="104">
        <v>4.0000000000000001E-3</v>
      </c>
      <c r="G9" s="105">
        <v>6.0120240480961923E-3</v>
      </c>
    </row>
    <row r="10" spans="1:13" x14ac:dyDescent="0.35">
      <c r="A10" s="106" t="s">
        <v>3</v>
      </c>
      <c r="B10" s="33">
        <f>(0.463803186126235) / 100</f>
        <v>4.6380318612623504E-3</v>
      </c>
      <c r="C10" s="33">
        <f>(0.460829493087558) / 100</f>
        <v>4.6082949308755804E-3</v>
      </c>
      <c r="D10" s="33">
        <v>3.8337368845843402E-3</v>
      </c>
      <c r="E10" s="33">
        <v>3.0000000000000001E-3</v>
      </c>
      <c r="F10" s="33">
        <v>4.0000000000000001E-3</v>
      </c>
      <c r="G10" s="107">
        <v>6.0120240480961923E-3</v>
      </c>
    </row>
    <row r="11" spans="1:13" x14ac:dyDescent="0.35">
      <c r="A11" s="106" t="s">
        <v>4</v>
      </c>
      <c r="B11" s="33">
        <f>(0) / 100</f>
        <v>0</v>
      </c>
      <c r="C11" s="33">
        <f>(0) / 100</f>
        <v>0</v>
      </c>
      <c r="D11" s="33">
        <v>0</v>
      </c>
      <c r="E11" s="33">
        <v>0</v>
      </c>
      <c r="F11" s="33">
        <v>0</v>
      </c>
      <c r="G11" s="107">
        <v>0</v>
      </c>
    </row>
    <row r="12" spans="1:13" x14ac:dyDescent="0.35">
      <c r="A12" s="108" t="s">
        <v>38</v>
      </c>
      <c r="B12" s="35">
        <f>(0.143833153541891) / 100</f>
        <v>1.4383315354189099E-3</v>
      </c>
      <c r="C12" s="35">
        <f>(0.0436871996505024) / 100</f>
        <v>4.3687199650502398E-4</v>
      </c>
      <c r="D12" s="35">
        <v>4.6232085067036499E-4</v>
      </c>
      <c r="E12" s="35">
        <v>2E-3</v>
      </c>
      <c r="F12" s="35">
        <v>1E-3</v>
      </c>
      <c r="G12" s="109">
        <v>3.5026269702276708E-3</v>
      </c>
    </row>
    <row r="13" spans="1:13" x14ac:dyDescent="0.35">
      <c r="A13" s="106" t="s">
        <v>3</v>
      </c>
      <c r="B13" s="33">
        <f>(0.146735143066764) / 100</f>
        <v>1.46735143066764E-3</v>
      </c>
      <c r="C13" s="33">
        <f>(0.04) / 100</f>
        <v>4.0000000000000002E-4</v>
      </c>
      <c r="D13" s="33">
        <v>4.6232085067036499E-4</v>
      </c>
      <c r="E13" s="33">
        <v>2E-3</v>
      </c>
      <c r="F13" s="33">
        <v>1E-3</v>
      </c>
      <c r="G13" s="107">
        <v>3.5026269702276708E-3</v>
      </c>
    </row>
    <row r="14" spans="1:13" x14ac:dyDescent="0.35">
      <c r="A14" s="106" t="s">
        <v>4</v>
      </c>
      <c r="B14" s="33">
        <f>(0) / 100</f>
        <v>0</v>
      </c>
      <c r="C14" s="33">
        <f>(0) / 100</f>
        <v>0</v>
      </c>
      <c r="D14" s="33">
        <v>0</v>
      </c>
      <c r="E14" s="33">
        <v>0</v>
      </c>
      <c r="F14" s="33">
        <v>0</v>
      </c>
      <c r="G14" s="107">
        <v>0</v>
      </c>
    </row>
    <row r="15" spans="1:13" x14ac:dyDescent="0.35">
      <c r="A15" s="108" t="s">
        <v>39</v>
      </c>
      <c r="B15" s="35">
        <f>(0.839222614840989) / 100</f>
        <v>8.3922261484098912E-3</v>
      </c>
      <c r="C15" s="35">
        <f>(0.860215053763441) / 100</f>
        <v>8.6021505376344103E-3</v>
      </c>
      <c r="D15" s="35">
        <v>6.44468313641246E-3</v>
      </c>
      <c r="E15" s="35">
        <v>4.0000000000000001E-3</v>
      </c>
      <c r="F15" s="35">
        <v>6.0000000000000001E-3</v>
      </c>
      <c r="G15" s="109">
        <v>7.5593952483801298E-3</v>
      </c>
    </row>
    <row r="16" spans="1:13" x14ac:dyDescent="0.35">
      <c r="A16" s="110" t="s">
        <v>3</v>
      </c>
      <c r="B16" s="37">
        <f>(0.850873264666368) / 100</f>
        <v>8.5087326466636807E-3</v>
      </c>
      <c r="C16" s="37">
        <f>(0.871080139372822) / 100</f>
        <v>8.7108013937282208E-3</v>
      </c>
      <c r="D16" s="37">
        <v>6.44468313641246E-3</v>
      </c>
      <c r="E16" s="37">
        <v>4.0000000000000001E-3</v>
      </c>
      <c r="F16" s="37">
        <v>6.0000000000000001E-3</v>
      </c>
      <c r="G16" s="111">
        <v>7.5593952483801298E-3</v>
      </c>
    </row>
    <row r="17" spans="1:7" ht="15" thickBot="1" x14ac:dyDescent="0.4">
      <c r="A17" s="112" t="s">
        <v>4</v>
      </c>
      <c r="B17" s="113">
        <f>(0) / 100</f>
        <v>0</v>
      </c>
      <c r="C17" s="113">
        <f>(0) / 100</f>
        <v>0</v>
      </c>
      <c r="D17" s="113">
        <v>0</v>
      </c>
      <c r="E17" s="113">
        <v>0</v>
      </c>
      <c r="F17" s="113">
        <v>0</v>
      </c>
      <c r="G17" s="114">
        <v>0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M19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4.453125" customWidth="1"/>
    <col min="2" max="7" width="10.81640625" bestFit="1" customWidth="1"/>
  </cols>
  <sheetData>
    <row r="1" spans="1:13" s="83" customFormat="1" ht="21" x14ac:dyDescent="0.5">
      <c r="A1" s="83" t="s">
        <v>72</v>
      </c>
    </row>
    <row r="3" spans="1:13" x14ac:dyDescent="0.35">
      <c r="A3" s="3" t="s">
        <v>0</v>
      </c>
      <c r="B3" s="85" t="s">
        <v>77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8" customHeight="1" x14ac:dyDescent="0.35">
      <c r="A4" s="14" t="s">
        <v>12</v>
      </c>
      <c r="B4" s="84" t="s">
        <v>42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74">
        <v>14.934677021376068</v>
      </c>
      <c r="C9" s="74">
        <v>14.513487176297403</v>
      </c>
      <c r="D9" s="74">
        <v>13.807336782745191</v>
      </c>
      <c r="E9" s="74">
        <v>11.9</v>
      </c>
      <c r="F9" s="115"/>
      <c r="G9" s="116"/>
    </row>
    <row r="10" spans="1:13" x14ac:dyDescent="0.35">
      <c r="A10" s="1" t="s">
        <v>3</v>
      </c>
      <c r="B10" s="75">
        <v>29.197821588615387</v>
      </c>
      <c r="C10" s="75">
        <v>28.296166543151656</v>
      </c>
      <c r="D10" s="75">
        <v>26.970630402998001</v>
      </c>
      <c r="E10" s="75">
        <v>23.3</v>
      </c>
      <c r="F10" s="117"/>
      <c r="G10" s="118"/>
    </row>
    <row r="11" spans="1:13" x14ac:dyDescent="0.35">
      <c r="A11" s="1" t="s">
        <v>4</v>
      </c>
      <c r="B11" s="66">
        <v>0</v>
      </c>
      <c r="C11" s="66">
        <v>0</v>
      </c>
      <c r="D11" s="66">
        <v>0</v>
      </c>
      <c r="E11" s="66">
        <v>0</v>
      </c>
      <c r="F11" s="119"/>
      <c r="G11" s="120"/>
    </row>
    <row r="12" spans="1:13" x14ac:dyDescent="0.35">
      <c r="A12" s="21" t="s">
        <v>38</v>
      </c>
      <c r="B12" s="76">
        <v>2.5973351341523596</v>
      </c>
      <c r="C12" s="76">
        <v>0.69111843696654296</v>
      </c>
      <c r="D12" s="76">
        <v>0.72670193593395738</v>
      </c>
      <c r="E12" s="76">
        <v>3</v>
      </c>
      <c r="F12" s="117"/>
      <c r="G12" s="118"/>
    </row>
    <row r="13" spans="1:13" x14ac:dyDescent="0.35">
      <c r="A13" s="1" t="s">
        <v>3</v>
      </c>
      <c r="B13" s="75">
        <v>5.0778820154113715</v>
      </c>
      <c r="C13" s="75">
        <v>1.3474365020548407</v>
      </c>
      <c r="D13" s="75">
        <v>1.4195068633156842</v>
      </c>
      <c r="E13" s="75">
        <v>5.8</v>
      </c>
      <c r="F13" s="117"/>
      <c r="G13" s="118"/>
    </row>
    <row r="14" spans="1:13" x14ac:dyDescent="0.35">
      <c r="A14" s="1" t="s">
        <v>4</v>
      </c>
      <c r="B14" s="66">
        <v>0</v>
      </c>
      <c r="C14" s="66">
        <v>0</v>
      </c>
      <c r="D14" s="66">
        <v>0</v>
      </c>
      <c r="E14" s="66">
        <v>0</v>
      </c>
      <c r="F14" s="119"/>
      <c r="G14" s="120"/>
    </row>
    <row r="15" spans="1:13" x14ac:dyDescent="0.35">
      <c r="A15" s="21" t="s">
        <v>39</v>
      </c>
      <c r="B15" s="76">
        <v>12.337341887223708</v>
      </c>
      <c r="C15" s="76">
        <v>13.822368739330859</v>
      </c>
      <c r="D15" s="76">
        <v>13.080634846811233</v>
      </c>
      <c r="E15" s="76">
        <v>8.9</v>
      </c>
      <c r="F15" s="117"/>
      <c r="G15" s="118"/>
    </row>
    <row r="16" spans="1:13" x14ac:dyDescent="0.35">
      <c r="A16" s="13" t="s">
        <v>3</v>
      </c>
      <c r="B16" s="77">
        <v>24.119939573204018</v>
      </c>
      <c r="C16" s="77">
        <v>26.948730041096812</v>
      </c>
      <c r="D16" s="77">
        <v>25.551123539682315</v>
      </c>
      <c r="E16" s="77">
        <v>17.5</v>
      </c>
      <c r="F16" s="121"/>
      <c r="G16" s="122"/>
    </row>
    <row r="17" spans="1:7" ht="15" thickBot="1" x14ac:dyDescent="0.4">
      <c r="A17" s="2" t="s">
        <v>4</v>
      </c>
      <c r="B17" s="72">
        <v>0</v>
      </c>
      <c r="C17" s="72">
        <v>0</v>
      </c>
      <c r="D17" s="72">
        <v>0</v>
      </c>
      <c r="E17" s="72">
        <v>0</v>
      </c>
      <c r="F17" s="123"/>
      <c r="G17" s="124"/>
    </row>
    <row r="18" spans="1:7" ht="15" thickTop="1" x14ac:dyDescent="0.35"/>
    <row r="19" spans="1:7" x14ac:dyDescent="0.35">
      <c r="A19" s="3" t="s">
        <v>92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A1:M12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43</v>
      </c>
    </row>
    <row r="3" spans="1:13" x14ac:dyDescent="0.35">
      <c r="A3" s="3" t="s">
        <v>0</v>
      </c>
      <c r="B3" s="85" t="s">
        <v>77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7" customHeight="1" x14ac:dyDescent="0.35">
      <c r="A4" s="14" t="s">
        <v>12</v>
      </c>
      <c r="B4" s="84" t="s">
        <v>85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31">
        <v>0.82608695652173902</v>
      </c>
      <c r="C9" s="31">
        <v>0.952380952380952</v>
      </c>
      <c r="D9" s="31">
        <v>0.94736842105263197</v>
      </c>
      <c r="E9" s="31">
        <v>0.75</v>
      </c>
      <c r="F9" s="31">
        <v>0.9</v>
      </c>
      <c r="G9" s="32">
        <v>0.95454545454545459</v>
      </c>
      <c r="I9" s="98"/>
    </row>
    <row r="10" spans="1:13" x14ac:dyDescent="0.35">
      <c r="A10" s="13" t="s">
        <v>3</v>
      </c>
      <c r="B10" s="37">
        <v>0.82608695652173902</v>
      </c>
      <c r="C10" s="37">
        <v>0.952380952380952</v>
      </c>
      <c r="D10" s="37">
        <v>0.94736842105263197</v>
      </c>
      <c r="E10" s="37">
        <v>0.75</v>
      </c>
      <c r="F10" s="37">
        <v>0.9</v>
      </c>
      <c r="G10" s="38">
        <v>0.95454545454545459</v>
      </c>
    </row>
    <row r="11" spans="1:13" ht="15" thickBot="1" x14ac:dyDescent="0.4">
      <c r="A11" s="2" t="s">
        <v>4</v>
      </c>
      <c r="B11" s="39">
        <v>0</v>
      </c>
      <c r="C11" s="39">
        <v>0</v>
      </c>
      <c r="D11" s="39">
        <v>0</v>
      </c>
      <c r="E11" s="39">
        <v>0</v>
      </c>
      <c r="F11" s="39">
        <v>0</v>
      </c>
      <c r="G11" s="40">
        <v>0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M11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44</v>
      </c>
    </row>
    <row r="3" spans="1:13" x14ac:dyDescent="0.35">
      <c r="A3" s="3" t="s">
        <v>0</v>
      </c>
      <c r="B3" s="85" t="s">
        <v>77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6.5" customHeight="1" x14ac:dyDescent="0.35">
      <c r="A4" s="14" t="s">
        <v>12</v>
      </c>
      <c r="B4" s="84" t="s">
        <v>86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" thickBot="1" x14ac:dyDescent="0.5">
      <c r="A8" s="100"/>
      <c r="B8" s="101">
        <v>2019</v>
      </c>
      <c r="C8" s="101">
        <v>2020</v>
      </c>
      <c r="D8" s="101">
        <v>2021</v>
      </c>
      <c r="E8" s="101">
        <v>2022</v>
      </c>
      <c r="F8" s="101">
        <v>2023</v>
      </c>
      <c r="G8" s="102">
        <v>2024</v>
      </c>
      <c r="J8" s="98"/>
    </row>
    <row r="9" spans="1:13" x14ac:dyDescent="0.35">
      <c r="A9" s="103" t="s">
        <v>2</v>
      </c>
      <c r="B9" s="104">
        <f>(53.9906103286385) / 100</f>
        <v>0.539906103286385</v>
      </c>
      <c r="C9" s="104">
        <f>(57.0749108204518) / 100</f>
        <v>0.57074910820451796</v>
      </c>
      <c r="D9" s="104">
        <v>0.60899999999999999</v>
      </c>
      <c r="E9" s="104">
        <v>0.56999999999999995</v>
      </c>
      <c r="F9" s="104">
        <v>0.59099999999999997</v>
      </c>
      <c r="G9" s="105">
        <v>0.74673202614379086</v>
      </c>
      <c r="J9" s="98"/>
    </row>
    <row r="10" spans="1:13" x14ac:dyDescent="0.35">
      <c r="A10" s="110" t="s">
        <v>3</v>
      </c>
      <c r="B10" s="37">
        <f>(54.2011834319527) / 100</f>
        <v>0.54201183431952704</v>
      </c>
      <c r="C10" s="37">
        <f>(56.9027611044418) / 100</f>
        <v>0.56902761104441801</v>
      </c>
      <c r="D10" s="37">
        <v>0.60742971887550201</v>
      </c>
      <c r="E10" s="37">
        <v>0.56799999999999995</v>
      </c>
      <c r="F10" s="37">
        <v>0.59199999999999997</v>
      </c>
      <c r="G10" s="111">
        <v>0.74252491694352163</v>
      </c>
      <c r="J10" s="98"/>
    </row>
    <row r="11" spans="1:13" ht="15" thickBot="1" x14ac:dyDescent="0.4">
      <c r="A11" s="112" t="s">
        <v>4</v>
      </c>
      <c r="B11" s="113">
        <f>(28.5714285714286) / 100</f>
        <v>0.28571428571428603</v>
      </c>
      <c r="C11" s="113">
        <f>(75) / 100</f>
        <v>0.75</v>
      </c>
      <c r="D11" s="113">
        <v>0.72727272727272707</v>
      </c>
      <c r="E11" s="113">
        <v>0.77800000000000002</v>
      </c>
      <c r="F11" s="113">
        <v>0.53800000000000003</v>
      </c>
      <c r="G11" s="114">
        <v>1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A1:M10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2.453125" customWidth="1"/>
    <col min="2" max="7" width="10.81640625" bestFit="1" customWidth="1"/>
  </cols>
  <sheetData>
    <row r="1" spans="1:13" s="83" customFormat="1" ht="21" x14ac:dyDescent="0.5">
      <c r="A1" s="83" t="s">
        <v>45</v>
      </c>
    </row>
    <row r="3" spans="1:13" x14ac:dyDescent="0.35">
      <c r="A3" s="3" t="s">
        <v>0</v>
      </c>
      <c r="B3" s="85" t="s">
        <v>36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46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6" spans="1:13" x14ac:dyDescent="0.35">
      <c r="A6" s="3" t="s">
        <v>87</v>
      </c>
      <c r="B6" t="s">
        <v>88</v>
      </c>
    </row>
    <row r="7" spans="1:13" ht="15" thickBot="1" x14ac:dyDescent="0.4"/>
    <row r="8" spans="1:13" ht="19" thickBot="1" x14ac:dyDescent="0.5">
      <c r="A8" s="100"/>
      <c r="B8" s="101">
        <v>2019</v>
      </c>
      <c r="C8" s="101">
        <v>2020</v>
      </c>
      <c r="D8" s="101">
        <v>2021</v>
      </c>
      <c r="E8" s="101">
        <v>2022</v>
      </c>
      <c r="F8" s="101">
        <v>2023</v>
      </c>
      <c r="G8" s="102">
        <v>2024</v>
      </c>
    </row>
    <row r="9" spans="1:13" ht="15" thickBot="1" x14ac:dyDescent="0.4">
      <c r="A9" s="125" t="s">
        <v>2</v>
      </c>
      <c r="B9" s="126">
        <v>1</v>
      </c>
      <c r="C9" s="126">
        <v>14</v>
      </c>
      <c r="D9" s="126">
        <v>3</v>
      </c>
      <c r="E9" s="126">
        <v>6</v>
      </c>
      <c r="F9" s="126">
        <v>6</v>
      </c>
      <c r="G9" s="127">
        <v>1</v>
      </c>
    </row>
    <row r="10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8"/>
  <sheetViews>
    <sheetView showGridLines="0" zoomScaleNormal="100" workbookViewId="0">
      <selection activeCell="D8" sqref="A8:XFD17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15</v>
      </c>
    </row>
    <row r="3" spans="1:13" x14ac:dyDescent="0.35">
      <c r="A3" s="3" t="s">
        <v>0</v>
      </c>
      <c r="B3" s="85" t="s">
        <v>16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17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18</v>
      </c>
      <c r="B9" s="25">
        <v>1226</v>
      </c>
      <c r="C9" s="25">
        <v>1035</v>
      </c>
      <c r="D9" s="25">
        <v>1129</v>
      </c>
      <c r="E9" s="25">
        <v>1058</v>
      </c>
      <c r="F9" s="25">
        <v>1447</v>
      </c>
      <c r="G9" s="26">
        <v>1447</v>
      </c>
    </row>
    <row r="10" spans="1:13" x14ac:dyDescent="0.35">
      <c r="A10" s="1" t="s">
        <v>3</v>
      </c>
      <c r="B10" s="4">
        <v>911</v>
      </c>
      <c r="C10" s="4">
        <v>765</v>
      </c>
      <c r="D10" s="4">
        <v>800</v>
      </c>
      <c r="E10" s="4">
        <v>776</v>
      </c>
      <c r="F10" s="4">
        <v>1054</v>
      </c>
      <c r="G10" s="5">
        <v>1046</v>
      </c>
    </row>
    <row r="11" spans="1:13" x14ac:dyDescent="0.35">
      <c r="A11" s="1" t="s">
        <v>4</v>
      </c>
      <c r="B11" s="4">
        <v>315</v>
      </c>
      <c r="C11" s="4">
        <v>270</v>
      </c>
      <c r="D11" s="4">
        <v>329</v>
      </c>
      <c r="E11" s="4">
        <v>282</v>
      </c>
      <c r="F11" s="4">
        <v>393</v>
      </c>
      <c r="G11" s="5">
        <v>401</v>
      </c>
    </row>
    <row r="12" spans="1:13" x14ac:dyDescent="0.35">
      <c r="A12" s="21" t="s">
        <v>19</v>
      </c>
      <c r="B12" s="27">
        <v>534</v>
      </c>
      <c r="C12" s="27">
        <v>452</v>
      </c>
      <c r="D12" s="27">
        <v>504</v>
      </c>
      <c r="E12" s="27">
        <v>494</v>
      </c>
      <c r="F12" s="27">
        <v>681</v>
      </c>
      <c r="G12" s="28">
        <v>629</v>
      </c>
      <c r="I12" s="86"/>
    </row>
    <row r="13" spans="1:13" x14ac:dyDescent="0.35">
      <c r="A13" s="1" t="s">
        <v>3</v>
      </c>
      <c r="B13" s="4">
        <v>397</v>
      </c>
      <c r="C13" s="4">
        <v>334</v>
      </c>
      <c r="D13" s="4">
        <v>349</v>
      </c>
      <c r="E13" s="4">
        <v>376</v>
      </c>
      <c r="F13" s="4">
        <v>476</v>
      </c>
      <c r="G13" s="5">
        <v>442</v>
      </c>
    </row>
    <row r="14" spans="1:13" x14ac:dyDescent="0.35">
      <c r="A14" s="1" t="s">
        <v>4</v>
      </c>
      <c r="B14" s="4">
        <v>137</v>
      </c>
      <c r="C14" s="4">
        <v>118</v>
      </c>
      <c r="D14" s="4">
        <v>155</v>
      </c>
      <c r="E14" s="4">
        <v>118</v>
      </c>
      <c r="F14" s="4">
        <v>205</v>
      </c>
      <c r="G14" s="5">
        <v>187</v>
      </c>
    </row>
    <row r="15" spans="1:13" x14ac:dyDescent="0.35">
      <c r="A15" s="21" t="s">
        <v>20</v>
      </c>
      <c r="B15" s="27">
        <v>692</v>
      </c>
      <c r="C15" s="27">
        <v>583</v>
      </c>
      <c r="D15" s="27">
        <v>625</v>
      </c>
      <c r="E15" s="27">
        <v>564</v>
      </c>
      <c r="F15" s="27">
        <v>766</v>
      </c>
      <c r="G15" s="28">
        <v>818</v>
      </c>
    </row>
    <row r="16" spans="1:13" x14ac:dyDescent="0.35">
      <c r="A16" s="13" t="s">
        <v>3</v>
      </c>
      <c r="B16" s="29">
        <v>514</v>
      </c>
      <c r="C16" s="29">
        <v>431</v>
      </c>
      <c r="D16" s="29">
        <v>451</v>
      </c>
      <c r="E16" s="29">
        <v>400</v>
      </c>
      <c r="F16" s="29">
        <v>578</v>
      </c>
      <c r="G16" s="30">
        <v>604</v>
      </c>
    </row>
    <row r="17" spans="1:7" ht="15" thickBot="1" x14ac:dyDescent="0.4">
      <c r="A17" s="2" t="s">
        <v>4</v>
      </c>
      <c r="B17" s="6">
        <v>178</v>
      </c>
      <c r="C17" s="6">
        <v>152</v>
      </c>
      <c r="D17" s="6">
        <v>174</v>
      </c>
      <c r="E17" s="6">
        <v>164</v>
      </c>
      <c r="F17" s="6">
        <v>188</v>
      </c>
      <c r="G17" s="7">
        <v>214</v>
      </c>
    </row>
    <row r="18" spans="1: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M13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47</v>
      </c>
    </row>
    <row r="3" spans="1:13" x14ac:dyDescent="0.35">
      <c r="A3" s="3" t="s">
        <v>0</v>
      </c>
      <c r="B3" s="85" t="s">
        <v>48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49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5">
        <v>308</v>
      </c>
      <c r="C9" s="25">
        <v>162</v>
      </c>
      <c r="D9" s="25">
        <v>231</v>
      </c>
      <c r="E9" s="25">
        <v>236</v>
      </c>
      <c r="F9" s="25">
        <v>194</v>
      </c>
      <c r="G9" s="26"/>
    </row>
    <row r="10" spans="1:13" x14ac:dyDescent="0.35">
      <c r="A10" s="13" t="s">
        <v>50</v>
      </c>
      <c r="B10" s="29">
        <v>290</v>
      </c>
      <c r="C10" s="29">
        <v>159</v>
      </c>
      <c r="D10" s="29">
        <v>215</v>
      </c>
      <c r="E10" s="29">
        <v>220</v>
      </c>
      <c r="F10" s="29">
        <v>176</v>
      </c>
      <c r="G10" s="30"/>
    </row>
    <row r="11" spans="1:13" ht="15" thickBot="1" x14ac:dyDescent="0.4">
      <c r="A11" s="2" t="s">
        <v>51</v>
      </c>
      <c r="B11" s="6">
        <v>18</v>
      </c>
      <c r="C11" s="6">
        <v>3</v>
      </c>
      <c r="D11" s="6">
        <v>16</v>
      </c>
      <c r="E11" s="6">
        <v>16</v>
      </c>
      <c r="F11" s="6">
        <v>18</v>
      </c>
      <c r="G11" s="7"/>
    </row>
    <row r="12" spans="1:13" ht="15" thickTop="1" x14ac:dyDescent="0.35"/>
    <row r="13" spans="1:13" x14ac:dyDescent="0.35">
      <c r="A13" s="3" t="s">
        <v>97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A1:M13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52</v>
      </c>
    </row>
    <row r="3" spans="1:13" x14ac:dyDescent="0.35">
      <c r="A3" s="3" t="s">
        <v>0</v>
      </c>
      <c r="B3" s="85" t="s">
        <v>48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58" customHeight="1" x14ac:dyDescent="0.35">
      <c r="A4" s="14" t="s">
        <v>12</v>
      </c>
      <c r="B4" s="84" t="s">
        <v>75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5">
        <v>163</v>
      </c>
      <c r="C9" s="25">
        <v>115</v>
      </c>
      <c r="D9" s="25">
        <v>84</v>
      </c>
      <c r="E9" s="25">
        <v>127</v>
      </c>
      <c r="F9" s="25">
        <v>87</v>
      </c>
      <c r="G9" s="26"/>
    </row>
    <row r="10" spans="1:13" x14ac:dyDescent="0.35">
      <c r="A10" s="13" t="s">
        <v>50</v>
      </c>
      <c r="B10" s="29">
        <v>156</v>
      </c>
      <c r="C10" s="29">
        <v>112</v>
      </c>
      <c r="D10" s="29">
        <v>77</v>
      </c>
      <c r="E10" s="29">
        <v>119</v>
      </c>
      <c r="F10" s="29">
        <v>79</v>
      </c>
      <c r="G10" s="30"/>
    </row>
    <row r="11" spans="1:13" ht="15" thickBot="1" x14ac:dyDescent="0.4">
      <c r="A11" s="2" t="s">
        <v>51</v>
      </c>
      <c r="B11" s="6">
        <v>7</v>
      </c>
      <c r="C11" s="6">
        <v>3</v>
      </c>
      <c r="D11" s="6">
        <v>7</v>
      </c>
      <c r="E11" s="6">
        <v>8</v>
      </c>
      <c r="F11" s="6">
        <v>8</v>
      </c>
      <c r="G11" s="7"/>
    </row>
    <row r="12" spans="1:13" ht="15" thickTop="1" x14ac:dyDescent="0.35"/>
    <row r="13" spans="1:13" x14ac:dyDescent="0.35">
      <c r="A13" s="3" t="s">
        <v>97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A1:M13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53</v>
      </c>
    </row>
    <row r="3" spans="1:13" x14ac:dyDescent="0.35">
      <c r="A3" s="3" t="s">
        <v>0</v>
      </c>
      <c r="B3" s="85" t="s">
        <v>48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54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64">
        <v>117</v>
      </c>
      <c r="C9" s="64">
        <v>43</v>
      </c>
      <c r="D9" s="64">
        <v>128</v>
      </c>
      <c r="E9" s="64">
        <v>219</v>
      </c>
      <c r="F9" s="64">
        <v>186</v>
      </c>
      <c r="G9" s="65"/>
    </row>
    <row r="10" spans="1:13" x14ac:dyDescent="0.35">
      <c r="A10" s="13" t="s">
        <v>50</v>
      </c>
      <c r="B10" s="70">
        <v>109</v>
      </c>
      <c r="C10" s="70">
        <v>43</v>
      </c>
      <c r="D10" s="70">
        <v>120</v>
      </c>
      <c r="E10" s="70">
        <v>205</v>
      </c>
      <c r="F10" s="70">
        <v>169</v>
      </c>
      <c r="G10" s="71"/>
    </row>
    <row r="11" spans="1:13" ht="15" thickBot="1" x14ac:dyDescent="0.4">
      <c r="A11" s="2" t="s">
        <v>51</v>
      </c>
      <c r="B11" s="72">
        <v>8</v>
      </c>
      <c r="C11" s="72">
        <v>0</v>
      </c>
      <c r="D11" s="72">
        <v>8</v>
      </c>
      <c r="E11" s="72">
        <v>14</v>
      </c>
      <c r="F11" s="72">
        <v>17</v>
      </c>
      <c r="G11" s="73"/>
    </row>
    <row r="12" spans="1:13" ht="15" thickTop="1" x14ac:dyDescent="0.35"/>
    <row r="13" spans="1:13" x14ac:dyDescent="0.35">
      <c r="A13" s="3" t="s">
        <v>97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A1:M11"/>
  <sheetViews>
    <sheetView showGridLines="0" zoomScaleNormal="100" workbookViewId="0">
      <selection activeCell="E8" sqref="E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55</v>
      </c>
    </row>
    <row r="3" spans="1:13" x14ac:dyDescent="0.35">
      <c r="A3" s="3" t="s">
        <v>0</v>
      </c>
      <c r="B3" s="85" t="s">
        <v>56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8" customHeight="1" x14ac:dyDescent="0.35">
      <c r="A4" s="14" t="s">
        <v>12</v>
      </c>
      <c r="B4" s="84" t="s">
        <v>57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.5" thickTop="1" thickBot="1" x14ac:dyDescent="0.4">
      <c r="A9" s="8" t="s">
        <v>2</v>
      </c>
      <c r="B9" s="9">
        <v>0.58214285714285718</v>
      </c>
      <c r="C9" s="9">
        <v>0.72784810126582278</v>
      </c>
      <c r="D9" s="9">
        <v>0.39622641509433965</v>
      </c>
      <c r="E9" s="9">
        <v>0.57999999999999996</v>
      </c>
      <c r="F9" s="9">
        <v>0.46774193548387094</v>
      </c>
      <c r="G9" s="10"/>
    </row>
    <row r="10" spans="1:13" ht="15" thickTop="1" x14ac:dyDescent="0.35"/>
    <row r="11" spans="1:13" x14ac:dyDescent="0.35">
      <c r="A11" s="3" t="s">
        <v>97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5"/>
  <dimension ref="A1:M11"/>
  <sheetViews>
    <sheetView showGridLines="0" zoomScaleNormal="100" workbookViewId="0">
      <selection activeCell="F8" sqref="F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58</v>
      </c>
    </row>
    <row r="3" spans="1:13" x14ac:dyDescent="0.35">
      <c r="A3" s="3" t="s">
        <v>0</v>
      </c>
      <c r="B3" s="85" t="s">
        <v>56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8" customHeight="1" x14ac:dyDescent="0.35">
      <c r="A4" s="14" t="s">
        <v>12</v>
      </c>
      <c r="B4" s="84" t="s">
        <v>59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" thickBot="1" x14ac:dyDescent="0.5">
      <c r="A8" s="128"/>
      <c r="B8" s="129">
        <v>2019</v>
      </c>
      <c r="C8" s="129">
        <v>2020</v>
      </c>
      <c r="D8" s="129">
        <v>2021</v>
      </c>
      <c r="E8" s="129">
        <v>2022</v>
      </c>
      <c r="F8" s="129">
        <v>2023</v>
      </c>
      <c r="G8" s="129">
        <v>2024</v>
      </c>
    </row>
    <row r="9" spans="1:13" ht="15.5" thickTop="1" thickBot="1" x14ac:dyDescent="0.4">
      <c r="A9" s="130" t="s">
        <v>2</v>
      </c>
      <c r="B9" s="131">
        <v>0.41785714285714287</v>
      </c>
      <c r="C9" s="131">
        <v>0.27215189873417722</v>
      </c>
      <c r="D9" s="131">
        <v>0.60377358490566035</v>
      </c>
      <c r="E9" s="131">
        <v>0.40200000000000002</v>
      </c>
      <c r="F9" s="131">
        <v>0.5161290322580645</v>
      </c>
      <c r="G9" s="132"/>
    </row>
    <row r="11" spans="1:13" x14ac:dyDescent="0.35">
      <c r="A11" s="3" t="s">
        <v>97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6"/>
  <dimension ref="A1:M13"/>
  <sheetViews>
    <sheetView showGridLines="0" zoomScaleNormal="100" workbookViewId="0">
      <selection activeCell="F8" sqref="F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60</v>
      </c>
    </row>
    <row r="3" spans="1:13" x14ac:dyDescent="0.35">
      <c r="A3" s="3" t="s">
        <v>0</v>
      </c>
      <c r="B3" s="85" t="s">
        <v>61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62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5">
        <v>448</v>
      </c>
      <c r="C9" s="25">
        <v>392</v>
      </c>
      <c r="D9" s="25">
        <v>544</v>
      </c>
      <c r="E9" s="25">
        <v>476</v>
      </c>
      <c r="F9" s="25">
        <v>457</v>
      </c>
      <c r="G9" s="26"/>
      <c r="K9" s="133"/>
    </row>
    <row r="10" spans="1:13" x14ac:dyDescent="0.35">
      <c r="A10" s="13" t="s">
        <v>3</v>
      </c>
      <c r="B10" s="29">
        <v>434</v>
      </c>
      <c r="C10" s="29">
        <v>381</v>
      </c>
      <c r="D10" s="29">
        <v>533</v>
      </c>
      <c r="E10" s="29">
        <v>452</v>
      </c>
      <c r="F10" s="29">
        <v>443</v>
      </c>
      <c r="G10" s="30"/>
      <c r="K10" s="133"/>
    </row>
    <row r="11" spans="1:13" ht="15" thickBot="1" x14ac:dyDescent="0.4">
      <c r="A11" s="2" t="s">
        <v>4</v>
      </c>
      <c r="B11" s="6">
        <v>14</v>
      </c>
      <c r="C11" s="6">
        <v>11</v>
      </c>
      <c r="D11" s="6">
        <v>11</v>
      </c>
      <c r="E11" s="6">
        <v>24</v>
      </c>
      <c r="F11" s="6">
        <v>14</v>
      </c>
      <c r="G11" s="7"/>
      <c r="K11" s="133"/>
    </row>
    <row r="12" spans="1:13" ht="15" thickTop="1" x14ac:dyDescent="0.35"/>
    <row r="13" spans="1:13" x14ac:dyDescent="0.35">
      <c r="A13" s="3" t="s">
        <v>98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7"/>
  <dimension ref="A1:M13"/>
  <sheetViews>
    <sheetView showGridLines="0" zoomScaleNormal="100" workbookViewId="0">
      <selection activeCell="F8" sqref="F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63</v>
      </c>
    </row>
    <row r="3" spans="1:13" x14ac:dyDescent="0.35">
      <c r="A3" s="3" t="s">
        <v>0</v>
      </c>
      <c r="B3" s="85" t="s">
        <v>64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65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31">
        <f>(3) / 100</f>
        <v>0.03</v>
      </c>
      <c r="C9" s="31">
        <f>(2.9) / 100</f>
        <v>2.8999999999999998E-2</v>
      </c>
      <c r="D9" s="31">
        <v>3.3588540380340801E-2</v>
      </c>
      <c r="E9" s="31">
        <v>2.9000000000000001E-2</v>
      </c>
      <c r="F9" s="31">
        <v>3.3000000000000002E-2</v>
      </c>
      <c r="G9" s="32"/>
    </row>
    <row r="10" spans="1:13" x14ac:dyDescent="0.35">
      <c r="A10" s="13" t="s">
        <v>3</v>
      </c>
      <c r="B10" s="37">
        <f>(3.12770250792736) / 100</f>
        <v>3.1277025079273602E-2</v>
      </c>
      <c r="C10" s="37">
        <f>(2.98800094110266) / 100</f>
        <v>2.9880009411026597E-2</v>
      </c>
      <c r="D10" s="37">
        <v>3.2909360335885401E-2</v>
      </c>
      <c r="E10" s="37">
        <v>2.9000000000000001E-2</v>
      </c>
      <c r="F10" s="37">
        <v>3.4000000000000002E-2</v>
      </c>
      <c r="G10" s="38"/>
    </row>
    <row r="11" spans="1:13" ht="15" thickBot="1" x14ac:dyDescent="0.4">
      <c r="A11" s="2" t="s">
        <v>4</v>
      </c>
      <c r="B11" s="39">
        <f>(1.65289256198347) / 100</f>
        <v>1.6528925619834701E-2</v>
      </c>
      <c r="C11" s="39">
        <f>(1.67173252279635) / 100</f>
        <v>1.67173252279635E-2</v>
      </c>
      <c r="D11" s="39">
        <v>6.7918004445542094E-4</v>
      </c>
      <c r="E11" s="39">
        <v>2.8000000000000001E-2</v>
      </c>
      <c r="F11" s="39">
        <v>1.9E-2</v>
      </c>
      <c r="G11" s="40"/>
    </row>
    <row r="12" spans="1:13" ht="15" thickTop="1" x14ac:dyDescent="0.35"/>
    <row r="13" spans="1:13" x14ac:dyDescent="0.35">
      <c r="A13" s="3" t="s">
        <v>98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8"/>
  <dimension ref="A1:M13"/>
  <sheetViews>
    <sheetView showGridLines="0" zoomScaleNormal="100" workbookViewId="0">
      <selection activeCell="F8" sqref="F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73</v>
      </c>
    </row>
    <row r="3" spans="1:13" x14ac:dyDescent="0.35">
      <c r="A3" s="3" t="s">
        <v>0</v>
      </c>
      <c r="B3" s="85" t="s">
        <v>64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74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2">
        <v>288.98937577004705</v>
      </c>
      <c r="C9" s="22">
        <v>262.46719160104988</v>
      </c>
      <c r="D9" s="22">
        <v>385.41651906536492</v>
      </c>
      <c r="E9" s="22">
        <v>354.1</v>
      </c>
      <c r="F9" s="87"/>
      <c r="G9" s="88"/>
    </row>
    <row r="10" spans="1:13" x14ac:dyDescent="0.35">
      <c r="A10" s="13" t="s">
        <v>3</v>
      </c>
      <c r="B10" s="24">
        <v>547.10939666691877</v>
      </c>
      <c r="C10" s="24">
        <v>498.04572608792267</v>
      </c>
      <c r="D10" s="24">
        <v>736.91050615935512</v>
      </c>
      <c r="E10" s="24">
        <v>658.8</v>
      </c>
      <c r="F10" s="91"/>
      <c r="G10" s="92"/>
    </row>
    <row r="11" spans="1:13" ht="15" thickBot="1" x14ac:dyDescent="0.4">
      <c r="A11" s="2" t="s">
        <v>4</v>
      </c>
      <c r="B11" s="12">
        <v>18.494788432830891</v>
      </c>
      <c r="C11" s="12">
        <v>15.098897780462027</v>
      </c>
      <c r="D11" s="12">
        <v>15.98442245375416</v>
      </c>
      <c r="E11" s="12">
        <v>36.5</v>
      </c>
      <c r="F11" s="93"/>
      <c r="G11" s="94"/>
    </row>
    <row r="12" spans="1:13" ht="15" thickTop="1" x14ac:dyDescent="0.35"/>
    <row r="13" spans="1:13" x14ac:dyDescent="0.35">
      <c r="A13" s="3" t="s">
        <v>92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M18"/>
  <sheetViews>
    <sheetView showGridLines="0" zoomScaleNormal="100" workbookViewId="0">
      <selection activeCell="D8" sqref="A8:XFD17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22</v>
      </c>
    </row>
    <row r="3" spans="1:13" x14ac:dyDescent="0.35">
      <c r="A3" s="3" t="s">
        <v>0</v>
      </c>
      <c r="B3" s="85" t="s">
        <v>76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23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18</v>
      </c>
      <c r="B9" s="31">
        <f>(6.50121964153145) / 100</f>
        <v>6.5012196415314499E-2</v>
      </c>
      <c r="C9" s="31">
        <f>(5.80514891468955) / 100</f>
        <v>5.80514891468955E-2</v>
      </c>
      <c r="D9" s="31">
        <v>6.6765227675931391E-2</v>
      </c>
      <c r="E9" s="31">
        <v>7.8E-2</v>
      </c>
      <c r="F9" s="31">
        <v>8.5000000000000006E-2</v>
      </c>
      <c r="G9" s="32">
        <v>8.1470637914531838E-2</v>
      </c>
    </row>
    <row r="10" spans="1:13" x14ac:dyDescent="0.35">
      <c r="A10" s="1" t="s">
        <v>3</v>
      </c>
      <c r="B10" s="33">
        <f>(6.59810241182009) / 100</f>
        <v>6.5981024118200893E-2</v>
      </c>
      <c r="C10" s="33">
        <f>(5.7592411352857) / 100</f>
        <v>5.7592411352857004E-2</v>
      </c>
      <c r="D10" s="33">
        <v>6.5579145831625496E-2</v>
      </c>
      <c r="E10" s="33">
        <v>8.2000000000000003E-2</v>
      </c>
      <c r="F10" s="33">
        <v>8.7999999999999995E-2</v>
      </c>
      <c r="G10" s="34">
        <v>8.33997767501196E-2</v>
      </c>
    </row>
    <row r="11" spans="1:13" x14ac:dyDescent="0.35">
      <c r="A11" s="1" t="s">
        <v>4</v>
      </c>
      <c r="B11" s="33">
        <f>(6.23638883389428) / 100</f>
        <v>6.2363888338942797E-2</v>
      </c>
      <c r="C11" s="33">
        <f>(5.93928728552574) / 100</f>
        <v>5.9392872855257399E-2</v>
      </c>
      <c r="D11" s="33">
        <v>6.9836552748885602E-2</v>
      </c>
      <c r="E11" s="33">
        <v>6.7000000000000004E-2</v>
      </c>
      <c r="F11" s="33">
        <v>7.9000000000000001E-2</v>
      </c>
      <c r="G11" s="34">
        <v>7.6834642651849014E-2</v>
      </c>
    </row>
    <row r="12" spans="1:13" x14ac:dyDescent="0.35">
      <c r="A12" s="21" t="s">
        <v>19</v>
      </c>
      <c r="B12" s="35">
        <f>(2.83168946866052) / 100</f>
        <v>2.8316894686605202E-2</v>
      </c>
      <c r="C12" s="35">
        <f>(2.53519546805766) / 100</f>
        <v>2.5351954680576601E-2</v>
      </c>
      <c r="D12" s="35">
        <v>2.5000000000000001E-2</v>
      </c>
      <c r="E12" s="35">
        <v>3.5999999999999997E-2</v>
      </c>
      <c r="F12" s="35">
        <v>0.04</v>
      </c>
      <c r="G12" s="36">
        <v>3.541467259726367E-2</v>
      </c>
    </row>
    <row r="13" spans="1:13" x14ac:dyDescent="0.35">
      <c r="A13" s="1" t="s">
        <v>3</v>
      </c>
      <c r="B13" s="33">
        <f>(2.87535308177012) / 100</f>
        <v>2.8753530817701201E-2</v>
      </c>
      <c r="C13" s="33">
        <f>(2.51449220808552) / 100</f>
        <v>2.5144922080855201E-2</v>
      </c>
      <c r="D13" s="33">
        <v>2.8608902369046597E-2</v>
      </c>
      <c r="E13" s="33">
        <v>0.04</v>
      </c>
      <c r="F13" s="33">
        <v>0.04</v>
      </c>
      <c r="G13" s="34">
        <v>3.5241588263434862E-2</v>
      </c>
    </row>
    <row r="14" spans="1:13" x14ac:dyDescent="0.35">
      <c r="A14" s="1" t="s">
        <v>4</v>
      </c>
      <c r="B14" s="33">
        <f>(2.71233419124926) / 100</f>
        <v>2.7123341912492598E-2</v>
      </c>
      <c r="C14" s="33">
        <f>(2.59568851737791) / 100</f>
        <v>2.5956885173779098E-2</v>
      </c>
      <c r="D14" s="33">
        <v>3.2901719380174096E-2</v>
      </c>
      <c r="E14" s="33">
        <v>2.8000000000000001E-2</v>
      </c>
      <c r="F14" s="33">
        <v>4.1000000000000002E-2</v>
      </c>
      <c r="G14" s="34">
        <v>3.5830618892508145E-2</v>
      </c>
    </row>
    <row r="15" spans="1:13" x14ac:dyDescent="0.35">
      <c r="A15" s="21" t="s">
        <v>20</v>
      </c>
      <c r="B15" s="35">
        <f>(3.66953017287093) / 100</f>
        <v>3.6695301728709301E-2</v>
      </c>
      <c r="C15" s="35">
        <f>(3.26995344663189) / 100</f>
        <v>3.2699534466318896E-2</v>
      </c>
      <c r="D15" s="35">
        <v>3.3000000000000002E-2</v>
      </c>
      <c r="E15" s="35">
        <v>4.1000000000000002E-2</v>
      </c>
      <c r="F15" s="35">
        <v>4.4999999999999998E-2</v>
      </c>
      <c r="G15" s="36">
        <v>4.6055965317268174E-2</v>
      </c>
    </row>
    <row r="16" spans="1:13" x14ac:dyDescent="0.35">
      <c r="A16" s="13" t="s">
        <v>3</v>
      </c>
      <c r="B16" s="37">
        <f>(3.72274933004997) / 100</f>
        <v>3.7227493300499702E-2</v>
      </c>
      <c r="C16" s="37">
        <f>(3.24474892720018) / 100</f>
        <v>3.2447489272001799E-2</v>
      </c>
      <c r="D16" s="37">
        <v>3.6970243462578899E-2</v>
      </c>
      <c r="E16" s="37">
        <v>4.2000000000000003E-2</v>
      </c>
      <c r="F16" s="37">
        <v>4.8000000000000001E-2</v>
      </c>
      <c r="G16" s="38">
        <v>4.8158188486684739E-2</v>
      </c>
    </row>
    <row r="17" spans="1:7" ht="15" thickBot="1" x14ac:dyDescent="0.4">
      <c r="A17" s="2" t="s">
        <v>4</v>
      </c>
      <c r="B17" s="39">
        <f>(3.52405464264502) / 100</f>
        <v>3.5240546426450199E-2</v>
      </c>
      <c r="C17" s="39">
        <f>(3.34359876814782) / 100</f>
        <v>3.3435987681478201E-2</v>
      </c>
      <c r="D17" s="39">
        <v>3.6934833368711499E-2</v>
      </c>
      <c r="E17" s="39">
        <v>3.9E-2</v>
      </c>
      <c r="F17" s="39">
        <v>3.7999999999999999E-2</v>
      </c>
      <c r="G17" s="40">
        <v>4.1004023759340869E-2</v>
      </c>
    </row>
    <row r="18" spans="1:7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19"/>
  <sheetViews>
    <sheetView showGridLines="0" zoomScaleNormal="100" workbookViewId="0">
      <selection activeCell="E8" sqref="A8:XFD19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68</v>
      </c>
    </row>
    <row r="3" spans="1:13" x14ac:dyDescent="0.35">
      <c r="A3" s="3" t="s">
        <v>0</v>
      </c>
      <c r="B3" s="85" t="s">
        <v>76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8" customHeight="1" x14ac:dyDescent="0.35">
      <c r="A4" s="14" t="s">
        <v>12</v>
      </c>
      <c r="B4" s="84" t="s">
        <v>24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18</v>
      </c>
      <c r="B9" s="22">
        <v>203.07090918125652</v>
      </c>
      <c r="C9" s="22">
        <v>176.06771887684107</v>
      </c>
      <c r="D9" s="22">
        <v>197.90768281481172</v>
      </c>
      <c r="E9" s="22">
        <v>191.7</v>
      </c>
      <c r="F9" s="87"/>
      <c r="G9" s="88"/>
    </row>
    <row r="10" spans="1:13" x14ac:dyDescent="0.35">
      <c r="A10" s="1" t="s">
        <v>3</v>
      </c>
      <c r="B10" s="11">
        <v>294.7943396898026</v>
      </c>
      <c r="C10" s="11">
        <v>254.50710457414141</v>
      </c>
      <c r="D10" s="11">
        <v>274.69037244580875</v>
      </c>
      <c r="E10" s="11">
        <v>276.3</v>
      </c>
      <c r="F10" s="89"/>
      <c r="G10" s="90"/>
    </row>
    <row r="11" spans="1:13" x14ac:dyDescent="0.35">
      <c r="A11" s="1" t="s">
        <v>4</v>
      </c>
      <c r="B11" s="11">
        <v>106.88799834408435</v>
      </c>
      <c r="C11" s="11">
        <v>93.991178753816214</v>
      </c>
      <c r="D11" s="11">
        <v>117.82359408518396</v>
      </c>
      <c r="E11" s="11">
        <v>104</v>
      </c>
      <c r="F11" s="89"/>
      <c r="G11" s="90"/>
    </row>
    <row r="12" spans="1:13" x14ac:dyDescent="0.35">
      <c r="A12" s="21" t="s">
        <v>19</v>
      </c>
      <c r="B12" s="23">
        <v>119.00861809599583</v>
      </c>
      <c r="C12" s="23">
        <v>103.08102807361627</v>
      </c>
      <c r="D12" s="23">
        <v>117.39440326840925</v>
      </c>
      <c r="E12" s="23">
        <v>109.9</v>
      </c>
      <c r="F12" s="89"/>
      <c r="G12" s="90"/>
    </row>
    <row r="13" spans="1:13" x14ac:dyDescent="0.35">
      <c r="A13" s="1" t="s">
        <v>3</v>
      </c>
      <c r="B13" s="11">
        <v>172.83187420277488</v>
      </c>
      <c r="C13" s="11">
        <v>149.05257896662829</v>
      </c>
      <c r="D13" s="11">
        <v>159.42770478922654</v>
      </c>
      <c r="E13" s="11">
        <v>164.5</v>
      </c>
      <c r="F13" s="89"/>
      <c r="G13" s="90"/>
    </row>
    <row r="14" spans="1:13" x14ac:dyDescent="0.35">
      <c r="A14" s="1" t="s">
        <v>4</v>
      </c>
      <c r="B14" s="11">
        <v>62.555935051414586</v>
      </c>
      <c r="C14" s="11">
        <v>55.035259878362744</v>
      </c>
      <c r="D14" s="11">
        <v>73.664299903998781</v>
      </c>
      <c r="E14" s="11">
        <v>53.4</v>
      </c>
      <c r="F14" s="89"/>
      <c r="G14" s="90"/>
    </row>
    <row r="15" spans="1:13" x14ac:dyDescent="0.35">
      <c r="A15" s="21" t="s">
        <v>20</v>
      </c>
      <c r="B15" s="23">
        <v>446.38537507337617</v>
      </c>
      <c r="C15" s="23">
        <v>390.35299159033696</v>
      </c>
      <c r="D15" s="23">
        <v>442.80390517620054</v>
      </c>
      <c r="E15" s="23">
        <v>419.5</v>
      </c>
      <c r="F15" s="89"/>
      <c r="G15" s="90"/>
    </row>
    <row r="16" spans="1:13" x14ac:dyDescent="0.35">
      <c r="A16" s="13" t="s">
        <v>3</v>
      </c>
      <c r="B16" s="24">
        <v>647.95905503870108</v>
      </c>
      <c r="C16" s="24">
        <v>563.4060575955242</v>
      </c>
      <c r="D16" s="24">
        <v>623.53965905791597</v>
      </c>
      <c r="E16" s="24">
        <v>583</v>
      </c>
      <c r="F16" s="91"/>
      <c r="G16" s="92"/>
    </row>
    <row r="17" spans="1:7" ht="15" thickBot="1" x14ac:dyDescent="0.4">
      <c r="A17" s="2" t="s">
        <v>4</v>
      </c>
      <c r="B17" s="12">
        <v>235.14802436027847</v>
      </c>
      <c r="C17" s="12">
        <v>208.63931478456618</v>
      </c>
      <c r="D17" s="12">
        <v>252.84450063211128</v>
      </c>
      <c r="E17" s="12">
        <v>249.2</v>
      </c>
      <c r="F17" s="93"/>
      <c r="G17" s="94"/>
    </row>
    <row r="18" spans="1:7" ht="15" thickTop="1" x14ac:dyDescent="0.35"/>
    <row r="19" spans="1:7" x14ac:dyDescent="0.35">
      <c r="A19" s="3" t="s">
        <v>92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M11"/>
  <sheetViews>
    <sheetView showGridLines="0" zoomScaleNormal="100" workbookViewId="0">
      <selection activeCell="D8" sqref="A8:XFD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69</v>
      </c>
    </row>
    <row r="3" spans="1:13" x14ac:dyDescent="0.35">
      <c r="A3" s="3" t="s">
        <v>0</v>
      </c>
      <c r="B3" s="85" t="s">
        <v>76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31.5" customHeight="1" x14ac:dyDescent="0.35">
      <c r="A4" s="14" t="s">
        <v>12</v>
      </c>
      <c r="B4" s="84" t="s">
        <v>82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.5" thickTop="1" thickBot="1" x14ac:dyDescent="0.4">
      <c r="A9" s="8" t="s">
        <v>2</v>
      </c>
      <c r="B9" s="95">
        <v>0.16563695691782751</v>
      </c>
      <c r="C9" s="95">
        <v>0</v>
      </c>
      <c r="D9" s="95">
        <v>0.2</v>
      </c>
      <c r="E9" s="95">
        <v>0.54</v>
      </c>
      <c r="F9" s="96"/>
      <c r="G9" s="97"/>
    </row>
    <row r="10" spans="1:13" ht="15" thickTop="1" x14ac:dyDescent="0.35"/>
    <row r="11" spans="1:13" x14ac:dyDescent="0.35">
      <c r="A11" s="3" t="s">
        <v>92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M12"/>
  <sheetViews>
    <sheetView showGridLines="0" zoomScaleNormal="100" workbookViewId="0">
      <selection activeCell="D8" sqref="D8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26</v>
      </c>
    </row>
    <row r="3" spans="1:13" x14ac:dyDescent="0.35">
      <c r="A3" s="3" t="s">
        <v>0</v>
      </c>
      <c r="B3" s="85" t="s">
        <v>78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27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5">
        <v>103</v>
      </c>
      <c r="C9" s="25">
        <v>86</v>
      </c>
      <c r="D9" s="25">
        <v>159</v>
      </c>
      <c r="E9" s="25">
        <v>112</v>
      </c>
      <c r="F9" s="25">
        <v>164</v>
      </c>
      <c r="G9" s="26">
        <v>178</v>
      </c>
      <c r="J9" s="98"/>
    </row>
    <row r="10" spans="1:13" x14ac:dyDescent="0.35">
      <c r="A10" s="13" t="s">
        <v>3</v>
      </c>
      <c r="B10" s="29">
        <v>23</v>
      </c>
      <c r="C10" s="29">
        <v>24</v>
      </c>
      <c r="D10" s="29">
        <v>60</v>
      </c>
      <c r="E10" s="29">
        <v>31</v>
      </c>
      <c r="F10" s="29">
        <v>50</v>
      </c>
      <c r="G10" s="30">
        <v>65</v>
      </c>
      <c r="J10" s="98"/>
    </row>
    <row r="11" spans="1:13" ht="15" thickBot="1" x14ac:dyDescent="0.4">
      <c r="A11" s="2" t="s">
        <v>4</v>
      </c>
      <c r="B11" s="6">
        <v>80</v>
      </c>
      <c r="C11" s="6">
        <v>62</v>
      </c>
      <c r="D11" s="6">
        <v>99</v>
      </c>
      <c r="E11" s="6">
        <v>81</v>
      </c>
      <c r="F11" s="6">
        <v>114</v>
      </c>
      <c r="G11" s="7">
        <v>113</v>
      </c>
      <c r="J11" s="98"/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M13"/>
  <sheetViews>
    <sheetView showGridLines="0" zoomScaleNormal="100" workbookViewId="0">
      <selection activeCell="C8" sqref="A8:XFD13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70</v>
      </c>
    </row>
    <row r="3" spans="1:13" x14ac:dyDescent="0.35">
      <c r="A3" s="3" t="s">
        <v>0</v>
      </c>
      <c r="B3" s="85" t="s">
        <v>79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31" customHeight="1" x14ac:dyDescent="0.35">
      <c r="A4" s="14" t="s">
        <v>12</v>
      </c>
      <c r="B4" s="84" t="s">
        <v>83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2">
        <v>3.6</v>
      </c>
      <c r="C9" s="22">
        <v>3</v>
      </c>
      <c r="D9" s="22">
        <v>5.7</v>
      </c>
      <c r="E9" s="22">
        <v>4</v>
      </c>
      <c r="F9" s="87"/>
      <c r="G9" s="88"/>
    </row>
    <row r="10" spans="1:13" x14ac:dyDescent="0.35">
      <c r="A10" s="13" t="s">
        <v>3</v>
      </c>
      <c r="B10" s="24">
        <v>1.6</v>
      </c>
      <c r="C10" s="24">
        <v>1.7</v>
      </c>
      <c r="D10" s="24">
        <v>4.3</v>
      </c>
      <c r="E10" s="24">
        <v>2.2999999999999998</v>
      </c>
      <c r="F10" s="91"/>
      <c r="G10" s="92"/>
    </row>
    <row r="11" spans="1:13" ht="15" thickBot="1" x14ac:dyDescent="0.4">
      <c r="A11" s="2" t="s">
        <v>4</v>
      </c>
      <c r="B11" s="12">
        <v>5.6</v>
      </c>
      <c r="C11" s="12">
        <v>4.4000000000000004</v>
      </c>
      <c r="D11" s="12">
        <v>7</v>
      </c>
      <c r="E11" s="12">
        <v>5.8</v>
      </c>
      <c r="F11" s="93"/>
      <c r="G11" s="94"/>
    </row>
    <row r="12" spans="1:13" ht="15" thickTop="1" x14ac:dyDescent="0.35"/>
    <row r="13" spans="1:13" x14ac:dyDescent="0.35">
      <c r="A13" s="3" t="s">
        <v>92</v>
      </c>
    </row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M12"/>
  <sheetViews>
    <sheetView showGridLines="0" zoomScaleNormal="100" workbookViewId="0">
      <selection activeCell="C8" sqref="A8:XFD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28</v>
      </c>
    </row>
    <row r="3" spans="1:13" x14ac:dyDescent="0.35">
      <c r="A3" s="3" t="s">
        <v>0</v>
      </c>
      <c r="B3" s="85" t="s">
        <v>78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x14ac:dyDescent="0.35">
      <c r="A4" s="14" t="s">
        <v>12</v>
      </c>
      <c r="B4" s="84" t="s">
        <v>29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6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25">
        <v>67</v>
      </c>
      <c r="C9" s="25">
        <v>58</v>
      </c>
      <c r="D9" s="25">
        <v>112</v>
      </c>
      <c r="E9" s="25">
        <v>74</v>
      </c>
      <c r="F9" s="25">
        <v>109</v>
      </c>
      <c r="G9" s="26">
        <v>96</v>
      </c>
    </row>
    <row r="10" spans="1:13" x14ac:dyDescent="0.35">
      <c r="A10" s="13" t="s">
        <v>3</v>
      </c>
      <c r="B10" s="29">
        <v>21</v>
      </c>
      <c r="C10" s="29">
        <v>23</v>
      </c>
      <c r="D10" s="29">
        <v>60</v>
      </c>
      <c r="E10" s="29">
        <v>26</v>
      </c>
      <c r="F10" s="29">
        <v>42</v>
      </c>
      <c r="G10" s="30">
        <v>47</v>
      </c>
    </row>
    <row r="11" spans="1:13" ht="15" thickBot="1" x14ac:dyDescent="0.4">
      <c r="A11" s="2" t="s">
        <v>4</v>
      </c>
      <c r="B11" s="6">
        <v>46</v>
      </c>
      <c r="C11" s="6">
        <v>35</v>
      </c>
      <c r="D11" s="6">
        <v>52</v>
      </c>
      <c r="E11" s="6">
        <v>48</v>
      </c>
      <c r="F11" s="6">
        <v>67</v>
      </c>
      <c r="G11" s="7">
        <v>49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M12"/>
  <sheetViews>
    <sheetView showGridLines="0" zoomScaleNormal="100" workbookViewId="0">
      <selection activeCell="F8" sqref="A8:XFD11"/>
    </sheetView>
  </sheetViews>
  <sheetFormatPr defaultRowHeight="14.5" x14ac:dyDescent="0.35"/>
  <cols>
    <col min="1" max="1" width="11.26953125" customWidth="1"/>
    <col min="2" max="7" width="10.81640625" bestFit="1" customWidth="1"/>
  </cols>
  <sheetData>
    <row r="1" spans="1:13" s="83" customFormat="1" ht="21" x14ac:dyDescent="0.5">
      <c r="A1" s="83" t="s">
        <v>30</v>
      </c>
    </row>
    <row r="3" spans="1:13" x14ac:dyDescent="0.35">
      <c r="A3" s="3" t="s">
        <v>0</v>
      </c>
      <c r="B3" s="85" t="s">
        <v>79</v>
      </c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</row>
    <row r="4" spans="1:13" ht="29.15" customHeight="1" x14ac:dyDescent="0.35">
      <c r="A4" s="14" t="s">
        <v>12</v>
      </c>
      <c r="B4" s="84" t="s">
        <v>31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x14ac:dyDescent="0.35">
      <c r="A5" s="3" t="s">
        <v>5</v>
      </c>
      <c r="B5" s="85" t="s">
        <v>7</v>
      </c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</row>
    <row r="7" spans="1:13" ht="15" thickBot="1" x14ac:dyDescent="0.4"/>
    <row r="8" spans="1:13" ht="19.5" thickTop="1" thickBot="1" x14ac:dyDescent="0.5">
      <c r="A8" s="18"/>
      <c r="B8" s="19">
        <v>2019</v>
      </c>
      <c r="C8" s="19">
        <v>2020</v>
      </c>
      <c r="D8" s="19">
        <v>2021</v>
      </c>
      <c r="E8" s="19">
        <v>2022</v>
      </c>
      <c r="F8" s="19">
        <v>2023</v>
      </c>
      <c r="G8" s="19">
        <v>2024</v>
      </c>
    </row>
    <row r="9" spans="1:13" ht="15" thickTop="1" x14ac:dyDescent="0.35">
      <c r="A9" s="20" t="s">
        <v>2</v>
      </c>
      <c r="B9" s="31">
        <f>(65.0485436893204) / 100</f>
        <v>0.65048543689320393</v>
      </c>
      <c r="C9" s="31">
        <f>(67.4418604651163) / 100</f>
        <v>0.6744186046511631</v>
      </c>
      <c r="D9" s="31">
        <v>0.70440251572326995</v>
      </c>
      <c r="E9" s="31">
        <v>0.66100000000000003</v>
      </c>
      <c r="F9" s="31">
        <v>0.66500000000000004</v>
      </c>
      <c r="G9" s="32">
        <v>0.5393258426966292</v>
      </c>
    </row>
    <row r="10" spans="1:13" x14ac:dyDescent="0.35">
      <c r="A10" s="13" t="s">
        <v>3</v>
      </c>
      <c r="B10" s="37">
        <f>(91.304347826087) / 100</f>
        <v>0.91304347826086996</v>
      </c>
      <c r="C10" s="37">
        <f>(95.8333333333333) / 100</f>
        <v>0.95833333333333304</v>
      </c>
      <c r="D10" s="37">
        <v>1</v>
      </c>
      <c r="E10" s="37">
        <v>0.83899999999999997</v>
      </c>
      <c r="F10" s="37">
        <v>0.84</v>
      </c>
      <c r="G10" s="38">
        <v>0.72307692307692306</v>
      </c>
    </row>
    <row r="11" spans="1:13" ht="15" thickBot="1" x14ac:dyDescent="0.4">
      <c r="A11" s="2" t="s">
        <v>4</v>
      </c>
      <c r="B11" s="39">
        <f>(57.5) / 100</f>
        <v>0.57499999999999996</v>
      </c>
      <c r="C11" s="39">
        <f>(56.4516129032258) / 100</f>
        <v>0.56451612903225801</v>
      </c>
      <c r="D11" s="39">
        <v>0.52525252525252497</v>
      </c>
      <c r="E11" s="39">
        <v>0.59299999999999997</v>
      </c>
      <c r="F11" s="39">
        <v>0.58799999999999997</v>
      </c>
      <c r="G11" s="40">
        <v>0.4336283185840708</v>
      </c>
    </row>
    <row r="12" spans="1:13" ht="15" thickTop="1" x14ac:dyDescent="0.35"/>
  </sheetData>
  <mergeCells count="4">
    <mergeCell ref="A1:XFD1"/>
    <mergeCell ref="B4:M4"/>
    <mergeCell ref="B3:M3"/>
    <mergeCell ref="B5:M5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77410195-14e1-4fb8-904b-ab1892023667}" enabled="0" method="" siteId="{77410195-14e1-4fb8-904b-ab1892023667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Përmbledhje</vt:lpstr>
      <vt:lpstr>Indikatori_1</vt:lpstr>
      <vt:lpstr>Indikatori_2</vt:lpstr>
      <vt:lpstr>Indikatori_3</vt:lpstr>
      <vt:lpstr>Indikatori_4</vt:lpstr>
      <vt:lpstr>Indikatori_5</vt:lpstr>
      <vt:lpstr>Indikatori_6</vt:lpstr>
      <vt:lpstr>Indikatori_7</vt:lpstr>
      <vt:lpstr>Indikatori_8</vt:lpstr>
      <vt:lpstr>Indikatori_9</vt:lpstr>
      <vt:lpstr>Indikatori_10</vt:lpstr>
      <vt:lpstr>Indikatori_11</vt:lpstr>
      <vt:lpstr>Indikatori_12</vt:lpstr>
      <vt:lpstr>Indikatori_13</vt:lpstr>
      <vt:lpstr>Indikatori_14</vt:lpstr>
      <vt:lpstr>Indikatori_15</vt:lpstr>
      <vt:lpstr>Indikatori_16</vt:lpstr>
      <vt:lpstr>Indikatori_17</vt:lpstr>
      <vt:lpstr>Indikatori_18</vt:lpstr>
      <vt:lpstr>Indikatori_19</vt:lpstr>
      <vt:lpstr>Indikatori_20</vt:lpstr>
      <vt:lpstr>Indikatori_21</vt:lpstr>
      <vt:lpstr>Indikatori_22</vt:lpstr>
      <vt:lpstr>Indikatori_23</vt:lpstr>
      <vt:lpstr>Indikatori_24</vt:lpstr>
      <vt:lpstr>Indikatori_25</vt:lpstr>
      <vt:lpstr>Indikatori_26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Albana Berbiu</dc:creator>
  <cp:lastModifiedBy>Flavia Djaloshi</cp:lastModifiedBy>
  <dcterms:created xsi:type="dcterms:W3CDTF">2006-09-16T00:00:00Z</dcterms:created>
  <dcterms:modified xsi:type="dcterms:W3CDTF">2026-05-28T19:36:14Z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60d57e-af5b-4752-ac57-3e4f28ca11dc_Enabled">
    <vt:lpwstr>true</vt:lpwstr>
  </property>
  <property fmtid="{D5CDD505-2E9C-101B-9397-08002B2CF9AE}" pid="3" name="MSIP_Label_ea60d57e-af5b-4752-ac57-3e4f28ca11dc_SetDate">
    <vt:lpwstr>2022-10-02T17:36:22Z</vt:lpwstr>
  </property>
  <property fmtid="{D5CDD505-2E9C-101B-9397-08002B2CF9AE}" pid="4" name="MSIP_Label_ea60d57e-af5b-4752-ac57-3e4f28ca11dc_Method">
    <vt:lpwstr>Standard</vt:lpwstr>
  </property>
  <property fmtid="{D5CDD505-2E9C-101B-9397-08002B2CF9AE}" pid="5" name="MSIP_Label_ea60d57e-af5b-4752-ac57-3e4f28ca11dc_Name">
    <vt:lpwstr>ea60d57e-af5b-4752-ac57-3e4f28ca11dc</vt:lpwstr>
  </property>
  <property fmtid="{D5CDD505-2E9C-101B-9397-08002B2CF9AE}" pid="6" name="MSIP_Label_ea60d57e-af5b-4752-ac57-3e4f28ca11dc_SiteId">
    <vt:lpwstr>36da45f1-dd2c-4d1f-af13-5abe46b99921</vt:lpwstr>
  </property>
  <property fmtid="{D5CDD505-2E9C-101B-9397-08002B2CF9AE}" pid="7" name="MSIP_Label_ea60d57e-af5b-4752-ac57-3e4f28ca11dc_ActionId">
    <vt:lpwstr>3ad4e718-8cbd-4a35-9382-bd0f3b0fd195</vt:lpwstr>
  </property>
  <property fmtid="{D5CDD505-2E9C-101B-9397-08002B2CF9AE}" pid="8" name="MSIP_Label_ea60d57e-af5b-4752-ac57-3e4f28ca11dc_ContentBits">
    <vt:lpwstr>0</vt:lpwstr>
  </property>
</Properties>
</file>